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80" windowWidth="7440" windowHeight="6000" tabRatio="890" firstSheet="4" activeTab="6"/>
  </bookViews>
  <sheets>
    <sheet name="BOM" sheetId="13" r:id="rId1"/>
    <sheet name="Block Cost" sheetId="10" r:id="rId2"/>
    <sheet name="Battery Sense" sheetId="4" r:id="rId3"/>
    <sheet name="LED Backlight" sheetId="1" r:id="rId4"/>
    <sheet name="Mechanical" sheetId="6" r:id="rId5"/>
    <sheet name="Power Supply Loads" sheetId="7" r:id="rId6"/>
    <sheet name="PIC Load Dump" sheetId="16" r:id="rId7"/>
    <sheet name="Analog Power Supply" sheetId="5" r:id="rId8"/>
    <sheet name="Motor" sheetId="9" r:id="rId9"/>
    <sheet name="Components" sheetId="8" r:id="rId10"/>
    <sheet name="Acoustic" sheetId="12" r:id="rId11"/>
    <sheet name="LIN Xcvr" sheetId="11" r:id="rId12"/>
    <sheet name="Ribbon Con" sheetId="14" r:id="rId13"/>
    <sheet name="Physical Pkg" sheetId="15" r:id="rId14"/>
  </sheets>
  <calcPr calcId="145621"/>
</workbook>
</file>

<file path=xl/calcChain.xml><?xml version="1.0" encoding="utf-8"?>
<calcChain xmlns="http://schemas.openxmlformats.org/spreadsheetml/2006/main">
  <c r="B19" i="16" l="1"/>
  <c r="B18" i="16"/>
  <c r="B15" i="16"/>
  <c r="B14" i="16"/>
  <c r="B11" i="16"/>
  <c r="B10" i="16"/>
  <c r="B5" i="16"/>
  <c r="B7" i="16" s="1"/>
  <c r="B6" i="16" l="1"/>
  <c r="M15" i="15" l="1"/>
  <c r="L15" i="15"/>
  <c r="K15" i="15"/>
  <c r="J15" i="15"/>
  <c r="M14" i="15"/>
  <c r="L14" i="15"/>
  <c r="K14" i="15"/>
  <c r="J14" i="15"/>
  <c r="M13" i="15"/>
  <c r="L13" i="15"/>
  <c r="K13" i="15"/>
  <c r="J13" i="15"/>
  <c r="M12" i="15"/>
  <c r="L12" i="15"/>
  <c r="K12" i="15"/>
  <c r="J12" i="15"/>
  <c r="M11" i="15"/>
  <c r="L11" i="15"/>
  <c r="K11" i="15"/>
  <c r="J11" i="15"/>
  <c r="M10" i="15"/>
  <c r="L10" i="15"/>
  <c r="K10" i="15"/>
  <c r="J10" i="15"/>
  <c r="M9" i="15"/>
  <c r="L9" i="15"/>
  <c r="K9" i="15"/>
  <c r="J9" i="15"/>
  <c r="M8" i="15"/>
  <c r="L8" i="15"/>
  <c r="K8" i="15"/>
  <c r="J8" i="15"/>
  <c r="J4" i="15"/>
  <c r="K4" i="15"/>
  <c r="L4" i="15"/>
  <c r="J5" i="15"/>
  <c r="K5" i="15"/>
  <c r="L5" i="15"/>
  <c r="J6" i="15"/>
  <c r="K6" i="15"/>
  <c r="L6" i="15"/>
  <c r="K2" i="15"/>
  <c r="J2" i="15"/>
  <c r="M3" i="15"/>
  <c r="M4" i="15"/>
  <c r="M5" i="15"/>
  <c r="M6" i="15"/>
  <c r="M7" i="15"/>
  <c r="M2" i="15"/>
  <c r="F24" i="15"/>
  <c r="J7" i="15"/>
  <c r="B30" i="14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29" i="5"/>
  <c r="B29" i="5"/>
  <c r="C29" i="5"/>
  <c r="D30" i="5"/>
  <c r="B30" i="5"/>
  <c r="C30" i="5"/>
  <c r="D31" i="5"/>
  <c r="B31" i="5"/>
  <c r="C31" i="5"/>
  <c r="D32" i="5"/>
  <c r="B32" i="5"/>
  <c r="C32" i="5"/>
  <c r="D33" i="5"/>
  <c r="B33" i="5"/>
  <c r="C33" i="5"/>
  <c r="D34" i="5"/>
  <c r="B34" i="5"/>
  <c r="C34" i="5"/>
  <c r="D35" i="5"/>
  <c r="B35" i="5"/>
  <c r="C35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28" i="5"/>
  <c r="B28" i="5"/>
  <c r="C28" i="5"/>
  <c r="B13" i="5"/>
  <c r="B25" i="5"/>
  <c r="B24" i="5"/>
  <c r="B11" i="4"/>
  <c r="B13" i="4"/>
  <c r="B16" i="4"/>
  <c r="B12" i="4"/>
  <c r="B15" i="4"/>
  <c r="B11" i="1"/>
  <c r="B10" i="1"/>
  <c r="L2" i="15"/>
  <c r="L7" i="15"/>
  <c r="K7" i="15"/>
  <c r="F23" i="15"/>
  <c r="B5" i="14"/>
  <c r="B7" i="6"/>
  <c r="B9" i="6"/>
  <c r="J3" i="15"/>
  <c r="K3" i="15"/>
  <c r="L3" i="15"/>
</calcChain>
</file>

<file path=xl/sharedStrings.xml><?xml version="1.0" encoding="utf-8"?>
<sst xmlns="http://schemas.openxmlformats.org/spreadsheetml/2006/main" count="637" uniqueCount="401">
  <si>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</si>
  <si>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</si>
  <si>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</si>
  <si>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</si>
  <si>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</si>
  <si>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</si>
  <si>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</si>
  <si>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</si>
  <si>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</si>
  <si>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</si>
  <si>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</si>
  <si>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</si>
  <si>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</si>
  <si>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</si>
  <si>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</si>
  <si>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</si>
  <si>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</si>
  <si>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</si>
  <si>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</si>
  <si>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</si>
  <si>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</si>
  <si>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</si>
  <si>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</si>
  <si>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</si>
  <si>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</si>
  <si>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</si>
  <si>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TDA3674 5v Regulator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</si>
  <si>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</si>
  <si>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</si>
  <si>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</si>
  <si>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</si>
  <si>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</si>
  <si>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</si>
  <si>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</si>
  <si>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</si>
  <si>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</si>
  <si>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</si>
  <si>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</si>
  <si>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</si>
  <si>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</si>
  <si>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</si>
  <si>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</si>
  <si>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</si>
  <si>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</si>
  <si>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</si>
  <si>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</si>
  <si>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</si>
  <si>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</si>
  <si>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</si>
  <si>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regulated output voltage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</si>
  <si>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</si>
  <si>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</si>
  <si>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</si>
  <si>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</si>
  <si>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</si>
  <si>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</si>
  <si>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</si>
  <si>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</si>
  <si>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</si>
  <si>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</si>
  <si>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</si>
  <si>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</si>
  <si>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</si>
  <si>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</si>
  <si>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</si>
  <si>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</si>
  <si>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</si>
  <si>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</si>
  <si>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</si>
  <si>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</si>
  <si>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</si>
  <si>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</si>
  <si>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</si>
  <si>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</si>
  <si>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</si>
  <si>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</si>
  <si>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</si>
  <si>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</si>
  <si>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</si>
  <si>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</si>
  <si>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</si>
  <si>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</si>
  <si>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</si>
  <si>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</si>
  <si>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</si>
  <si>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</si>
  <si>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</si>
  <si>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</si>
  <si>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</si>
  <si>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</si>
  <si>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</si>
  <si>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</si>
  <si>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</si>
  <si>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</si>
  <si>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</si>
  <si>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</si>
  <si>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</si>
  <si>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</si>
  <si>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</si>
  <si>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</si>
  <si>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</si>
  <si>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</si>
  <si>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</si>
  <si>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</si>
  <si>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</si>
  <si>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</si>
  <si>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</si>
  <si>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</si>
  <si>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</si>
  <si>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</si>
  <si>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</si>
  <si>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</si>
  <si>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</si>
  <si>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</si>
  <si>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</si>
  <si>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</si>
  <si>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</si>
  <si>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</si>
  <si>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</si>
  <si>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</si>
  <si>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</si>
  <si>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</si>
  <si>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</si>
  <si>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</si>
  <si>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</si>
  <si>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</si>
  <si>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</si>
  <si>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</si>
  <si>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</si>
  <si>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</si>
  <si>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</si>
  <si>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</si>
  <si>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</si>
  <si>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</si>
  <si>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</si>
  <si>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</si>
  <si>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</si>
  <si>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</si>
  <si>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</si>
  <si>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</si>
  <si>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</si>
  <si>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</si>
  <si>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</si>
  <si>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</si>
  <si>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</si>
  <si>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</si>
  <si>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</si>
  <si>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</si>
  <si>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</si>
  <si>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</si>
  <si>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</si>
  <si>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</si>
  <si>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</si>
  <si>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</si>
  <si>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</si>
  <si>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</si>
  <si>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</si>
  <si>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</si>
  <si>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</si>
  <si>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</si>
  <si>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</si>
  <si>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</si>
  <si>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</si>
  <si>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</si>
  <si>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</si>
  <si>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</si>
  <si>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</si>
  <si>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</si>
  <si>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</si>
  <si>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</si>
  <si>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</si>
  <si>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</si>
  <si>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</si>
  <si>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</si>
  <si>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</si>
  <si>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</si>
  <si>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</si>
  <si>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</si>
  <si>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</si>
  <si>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</si>
  <si>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</si>
  <si>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</si>
  <si>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</si>
  <si>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</si>
  <si>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</si>
  <si>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</si>
  <si>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</si>
  <si>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</si>
  <si>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</si>
  <si>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</si>
  <si>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</si>
  <si>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</si>
  <si>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</si>
  <si>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</si>
  <si>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</si>
  <si>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</si>
  <si>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</si>
  <si>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</si>
  <si>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</si>
  <si>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</si>
  <si>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</si>
  <si>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</si>
  <si>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</si>
  <si>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</si>
  <si>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</si>
  <si>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</si>
  <si>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</si>
  <si>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</si>
  <si>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</si>
  <si>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</si>
  <si>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</si>
  <si>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</si>
  <si>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</si>
  <si>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</si>
  <si>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</si>
  <si>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</si>
  <si>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</si>
  <si>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</si>
  <si>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</si>
  <si>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</si>
  <si>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</si>
  <si>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</si>
  <si>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</si>
  <si>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</si>
  <si>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</si>
  <si>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</si>
  <si>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</si>
  <si>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</si>
  <si>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</si>
  <si>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</si>
  <si>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</si>
  <si>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</si>
  <si>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</si>
  <si>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</si>
  <si>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</si>
  <si>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</si>
  <si>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</si>
  <si>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</si>
  <si>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</si>
  <si>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</si>
  <si>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</si>
  <si>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</si>
  <si>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</si>
  <si>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</si>
  <si>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</si>
  <si>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</si>
  <si>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</si>
  <si>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</si>
  <si>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</si>
  <si>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</si>
  <si>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</si>
  <si>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</si>
  <si>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</si>
  <si>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</si>
  <si>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</si>
  <si>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</si>
  <si>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</si>
  <si>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</si>
  <si>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</si>
  <si>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</si>
  <si>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</si>
  <si>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</si>
  <si>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</si>
  <si>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</si>
  <si>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</si>
  <si>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</si>
  <si>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</si>
  <si>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</si>
  <si>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</si>
  <si>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</si>
  <si>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</si>
  <si>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</si>
  <si>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</si>
  <si>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</si>
  <si>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</si>
  <si>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</si>
  <si>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</si>
  <si>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</si>
  <si>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</si>
  <si>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</si>
  <si>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</si>
  <si>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</si>
  <si>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</si>
  <si>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</si>
  <si>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</si>
  <si>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</si>
  <si>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</si>
  <si>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</si>
  <si>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</si>
  <si>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</si>
  <si>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</si>
  <si>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</si>
  <si>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</si>
  <si>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</si>
  <si>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</si>
  <si>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</si>
  <si>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</si>
  <si>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</si>
  <si>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</si>
  <si>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</si>
  <si>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</si>
  <si>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</si>
  <si>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</si>
  <si>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</si>
  <si>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</si>
  <si>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</si>
  <si>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</si>
  <si>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</si>
  <si>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</si>
  <si>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</si>
  <si>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</si>
  <si>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</si>
  <si>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</si>
  <si>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</si>
  <si>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</si>
  <si>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</si>
  <si>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</si>
  <si>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</si>
  <si>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</si>
  <si>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</si>
  <si>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</si>
  <si>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</si>
  <si>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</si>
  <si>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</si>
  <si>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</si>
  <si>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</si>
  <si>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</si>
  <si>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Component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</si>
  <si>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</si>
  <si>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</si>
  <si>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</si>
  <si>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</si>
  <si>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</si>
  <si>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</si>
  <si>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</si>
  <si>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</si>
  <si>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</si>
  <si>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</si>
  <si>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</si>
  <si>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</si>
  <si>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Vishay</t>
  </si>
  <si>
    <t>IHLP-2525EZ-01</t>
  </si>
  <si>
    <t>SMD Inductor</t>
  </si>
  <si>
    <t>Unit Lookup</t>
  </si>
  <si>
    <t>inch</t>
  </si>
  <si>
    <t>To alternate</t>
  </si>
  <si>
    <t>Switching P.S.</t>
  </si>
  <si>
    <t>Candidate Usage</t>
  </si>
  <si>
    <t>Linear</t>
  </si>
  <si>
    <t>LT3690</t>
  </si>
  <si>
    <t>Switching PS</t>
  </si>
  <si>
    <t>National</t>
  </si>
  <si>
    <t>LDO Regulator</t>
  </si>
  <si>
    <t>uP P.S.</t>
  </si>
  <si>
    <t>LM2936 (TO-252)</t>
  </si>
  <si>
    <t>Molex</t>
  </si>
  <si>
    <t>5569-02A2</t>
  </si>
  <si>
    <t>2-Pin Connector</t>
  </si>
  <si>
    <t>Motor interface</t>
  </si>
  <si>
    <t>last</t>
  </si>
  <si>
    <t>5569-06A2</t>
  </si>
  <si>
    <t>6-Pin Connector</t>
  </si>
  <si>
    <t>Vehicle Interface</t>
  </si>
  <si>
    <t>5557-</t>
  </si>
  <si>
    <t>Mallory</t>
  </si>
  <si>
    <t>PK-12N40PQ</t>
  </si>
  <si>
    <t>Piezo</t>
  </si>
  <si>
    <t>Acoustic</t>
  </si>
  <si>
    <t>39-53-2035</t>
  </si>
  <si>
    <t>3-pin ribbon</t>
  </si>
  <si>
    <t>backlight</t>
  </si>
  <si>
    <t>39-53-2064</t>
  </si>
  <si>
    <t>6-pin ribbon</t>
  </si>
  <si>
    <t>keypad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</si>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</sst>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</numFmts>
  <fonts count="2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</cellStyleXfs>
  <cellXfs count="42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Supply'!$B$27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Supply'!$A$28:$A$63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Supply'!$B$28:$B$63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Supply'!$C$27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Supply'!$A$28:$A$63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Supply'!$C$28:$C$63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261376"/>
        <c:axId val="172263296"/>
      </c:scatterChart>
      <c:valAx>
        <c:axId val="17226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263296"/>
        <c:crosses val="autoZero"/>
        <c:crossBetween val="midCat"/>
      </c:valAx>
      <c:valAx>
        <c:axId val="1722632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226137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082048"/>
        <c:axId val="186083584"/>
      </c:scatterChart>
      <c:valAx>
        <c:axId val="186082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86083584"/>
        <c:crosses val="autoZero"/>
        <c:crossBetween val="midCat"/>
      </c:valAx>
      <c:valAx>
        <c:axId val="186083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608204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119680"/>
        <c:axId val="186121216"/>
      </c:scatterChart>
      <c:valAx>
        <c:axId val="186119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86121216"/>
        <c:crosses val="autoZero"/>
        <c:crossBetween val="midCat"/>
      </c:valAx>
      <c:valAx>
        <c:axId val="186121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611968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2</xdr:row>
      <xdr:rowOff>142875</xdr:rowOff>
    </xdr:from>
    <xdr:to>
      <xdr:col>9</xdr:col>
      <xdr:colOff>190500</xdr:colOff>
      <xdr:row>26</xdr:row>
      <xdr:rowOff>28575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466725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33</xdr:row>
      <xdr:rowOff>76200</xdr:rowOff>
    </xdr:from>
    <xdr:to>
      <xdr:col>4</xdr:col>
      <xdr:colOff>933450</xdr:colOff>
      <xdr:row>51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4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2"/>
  <sheetViews>
    <sheetView workbookViewId="0">
      <selection activeCell="A3" sqref="A3"/>
    </sheetView>
  </sheetViews>
  <sheetFormatPr defaultRowHeight="12.75" x14ac:dyDescent="0.2"/>
  <cols>
    <col min="1" max="1" width="22.85546875" customWidth="1"/>
    <col min="2" max="2" width="12.5703125" customWidth="1"/>
    <col min="3" max="3" width="10.42578125" customWidth="1"/>
  </cols>
  <sheetData>
    <row r="1" spans="1:3" x14ac:dyDescent="0.2">
      <c r="A1" s="1" t="s">
        <v>327</v>
      </c>
      <c r="B1" s="1" t="s">
        <v>214</v>
      </c>
      <c r="C1" s="3" t="s">
        <v>213</v>
      </c>
    </row>
    <row r="2" spans="1:3" x14ac:dyDescent="0.2">
      <c r="A2" t="s">
        <v>328</v>
      </c>
      <c r="B2" s="30">
        <v>2.08</v>
      </c>
      <c r="C2">
        <v>300</v>
      </c>
    </row>
  </sheetData>
  <phoneticPr fontId="3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sqref="A1:C1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212</v>
      </c>
      <c r="B1" s="1" t="s">
        <v>214</v>
      </c>
      <c r="C1" s="3" t="s">
        <v>213</v>
      </c>
      <c r="E1" s="3" t="s">
        <v>50</v>
      </c>
    </row>
    <row r="2" spans="1:5" x14ac:dyDescent="0.2">
      <c r="A2" t="s">
        <v>222</v>
      </c>
      <c r="B2" s="30">
        <v>4.5</v>
      </c>
      <c r="C2" s="6">
        <v>2000</v>
      </c>
      <c r="E2" s="6" t="s">
        <v>234</v>
      </c>
    </row>
    <row r="3" spans="1:5" x14ac:dyDescent="0.2">
      <c r="A3" t="s">
        <v>232</v>
      </c>
      <c r="B3" s="30">
        <v>0.25</v>
      </c>
      <c r="C3" s="6">
        <v>2000</v>
      </c>
      <c r="E3" s="6" t="s">
        <v>235</v>
      </c>
    </row>
    <row r="4" spans="1:5" x14ac:dyDescent="0.2">
      <c r="A4" t="s">
        <v>96</v>
      </c>
      <c r="B4" s="30">
        <v>4</v>
      </c>
      <c r="C4" s="6">
        <v>2000</v>
      </c>
      <c r="E4" s="6" t="s">
        <v>236</v>
      </c>
    </row>
    <row r="5" spans="1:5" x14ac:dyDescent="0.2">
      <c r="A5" t="s">
        <v>221</v>
      </c>
      <c r="B5" s="30">
        <v>0.1</v>
      </c>
      <c r="C5" s="6">
        <v>2000</v>
      </c>
      <c r="E5" s="6" t="s">
        <v>237</v>
      </c>
    </row>
    <row r="6" spans="1:5" x14ac:dyDescent="0.2">
      <c r="A6" t="s">
        <v>220</v>
      </c>
      <c r="B6" s="30">
        <v>0.25</v>
      </c>
      <c r="C6" s="6">
        <v>2000</v>
      </c>
      <c r="E6" s="6"/>
    </row>
    <row r="7" spans="1:5" x14ac:dyDescent="0.2">
      <c r="A7" t="s">
        <v>219</v>
      </c>
      <c r="B7" s="30">
        <v>1</v>
      </c>
      <c r="C7" s="6">
        <v>2000</v>
      </c>
      <c r="E7" s="6"/>
    </row>
    <row r="8" spans="1:5" x14ac:dyDescent="0.2">
      <c r="A8" t="s">
        <v>81</v>
      </c>
      <c r="B8" s="30">
        <v>1</v>
      </c>
      <c r="C8" s="6">
        <v>2000</v>
      </c>
      <c r="E8" s="6"/>
    </row>
    <row r="9" spans="1:5" x14ac:dyDescent="0.2">
      <c r="A9" t="s">
        <v>79</v>
      </c>
      <c r="B9" s="30">
        <v>1</v>
      </c>
      <c r="C9" s="6">
        <v>2000</v>
      </c>
      <c r="E9" s="6" t="s">
        <v>238</v>
      </c>
    </row>
    <row r="10" spans="1:5" x14ac:dyDescent="0.2">
      <c r="A10" t="s">
        <v>218</v>
      </c>
      <c r="B10" s="30">
        <v>3.75</v>
      </c>
      <c r="C10" s="6">
        <v>2000</v>
      </c>
      <c r="E10" s="6"/>
    </row>
    <row r="11" spans="1:5" x14ac:dyDescent="0.2">
      <c r="A11" t="s">
        <v>217</v>
      </c>
      <c r="B11" s="30">
        <v>0.1</v>
      </c>
      <c r="C11" s="6">
        <v>2000</v>
      </c>
      <c r="E11" s="6"/>
    </row>
    <row r="12" spans="1:5" x14ac:dyDescent="0.2">
      <c r="A12" t="s">
        <v>216</v>
      </c>
      <c r="B12" s="30">
        <v>0.25</v>
      </c>
      <c r="C12" s="6">
        <v>2000</v>
      </c>
      <c r="E12" s="6"/>
    </row>
    <row r="13" spans="1:5" x14ac:dyDescent="0.2">
      <c r="A13" t="s">
        <v>215</v>
      </c>
      <c r="B13" s="30">
        <v>2.25</v>
      </c>
      <c r="C13" s="6">
        <v>2000</v>
      </c>
      <c r="E13" s="6" t="s">
        <v>239</v>
      </c>
    </row>
    <row r="14" spans="1:5" x14ac:dyDescent="0.2">
      <c r="A14" t="s">
        <v>223</v>
      </c>
      <c r="B14" s="30">
        <v>3</v>
      </c>
      <c r="C14" s="6">
        <v>2000</v>
      </c>
      <c r="E14" s="6" t="s">
        <v>240</v>
      </c>
    </row>
    <row r="15" spans="1:5" x14ac:dyDescent="0.2">
      <c r="A15" s="31" t="s">
        <v>224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233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225</v>
      </c>
      <c r="C24" s="1" t="s">
        <v>226</v>
      </c>
      <c r="D24" s="1" t="s">
        <v>241</v>
      </c>
      <c r="E24" s="1" t="s">
        <v>1</v>
      </c>
    </row>
    <row r="25" spans="1:5" x14ac:dyDescent="0.2">
      <c r="B25" s="30" t="s">
        <v>227</v>
      </c>
      <c r="C25" t="s">
        <v>228</v>
      </c>
      <c r="D25" t="s">
        <v>228</v>
      </c>
      <c r="E25" t="s">
        <v>229</v>
      </c>
    </row>
    <row r="26" spans="1:5" x14ac:dyDescent="0.2">
      <c r="B26" s="30" t="s">
        <v>228</v>
      </c>
      <c r="C26" t="s">
        <v>227</v>
      </c>
      <c r="D26" t="s">
        <v>227</v>
      </c>
      <c r="E26" t="s">
        <v>230</v>
      </c>
    </row>
    <row r="27" spans="1:5" x14ac:dyDescent="0.2">
      <c r="B27" s="30" t="s">
        <v>228</v>
      </c>
      <c r="C27" t="s">
        <v>227</v>
      </c>
      <c r="D27" t="s">
        <v>228</v>
      </c>
      <c r="E27" t="s">
        <v>231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16"/>
  <sheetViews>
    <sheetView workbookViewId="0">
      <selection sqref="A1:C1"/>
    </sheetView>
  </sheetViews>
  <sheetFormatPr defaultRowHeight="12.75" x14ac:dyDescent="0.2"/>
  <cols>
    <col min="1" max="1" width="24.28515625" customWidth="1"/>
    <col min="3" max="3" width="9.140625" style="4"/>
  </cols>
  <sheetData>
    <row r="1" spans="1:3" x14ac:dyDescent="0.2">
      <c r="A1" s="1" t="s">
        <v>1</v>
      </c>
      <c r="B1" s="1" t="s">
        <v>2</v>
      </c>
      <c r="C1" s="3" t="s">
        <v>3</v>
      </c>
    </row>
    <row r="2" spans="1:3" x14ac:dyDescent="0.2">
      <c r="A2" t="s">
        <v>15</v>
      </c>
      <c r="B2">
        <v>100000</v>
      </c>
      <c r="C2" s="4" t="s">
        <v>12</v>
      </c>
    </row>
    <row r="3" spans="1:3" x14ac:dyDescent="0.2">
      <c r="A3" t="s">
        <v>16</v>
      </c>
      <c r="B3">
        <v>18000</v>
      </c>
      <c r="C3" s="4" t="s">
        <v>12</v>
      </c>
    </row>
    <row r="5" spans="1:3" x14ac:dyDescent="0.2">
      <c r="A5" t="s">
        <v>17</v>
      </c>
      <c r="B5">
        <v>5</v>
      </c>
      <c r="C5" s="4" t="s">
        <v>4</v>
      </c>
    </row>
    <row r="6" spans="1:3" x14ac:dyDescent="0.2">
      <c r="A6" t="s">
        <v>9</v>
      </c>
      <c r="B6">
        <v>9</v>
      </c>
      <c r="C6" s="4" t="s">
        <v>4</v>
      </c>
    </row>
    <row r="7" spans="1:3" x14ac:dyDescent="0.2">
      <c r="A7" t="s">
        <v>10</v>
      </c>
      <c r="B7">
        <v>32</v>
      </c>
      <c r="C7" s="4" t="s">
        <v>4</v>
      </c>
    </row>
    <row r="9" spans="1:3" x14ac:dyDescent="0.2">
      <c r="A9" t="s">
        <v>20</v>
      </c>
      <c r="B9">
        <v>12</v>
      </c>
      <c r="C9" s="4" t="s">
        <v>21</v>
      </c>
    </row>
    <row r="11" spans="1:3" x14ac:dyDescent="0.2">
      <c r="A11" t="s">
        <v>25</v>
      </c>
      <c r="B11">
        <f>B$5/2^B$9</f>
        <v>1.220703125E-3</v>
      </c>
      <c r="C11" s="4" t="s">
        <v>4</v>
      </c>
    </row>
    <row r="12" spans="1:3" x14ac:dyDescent="0.2">
      <c r="A12" t="s">
        <v>18</v>
      </c>
      <c r="B12" s="2">
        <f>B6*B$3/(B$2+B$3)</f>
        <v>1.3728813559322033</v>
      </c>
      <c r="C12" s="4" t="s">
        <v>4</v>
      </c>
    </row>
    <row r="13" spans="1:3" x14ac:dyDescent="0.2">
      <c r="A13" t="s">
        <v>19</v>
      </c>
      <c r="B13" s="2">
        <f>B7*B$3/(B$2+B$3)</f>
        <v>4.8813559322033901</v>
      </c>
      <c r="C13" s="4" t="s">
        <v>4</v>
      </c>
    </row>
    <row r="15" spans="1:3" x14ac:dyDescent="0.2">
      <c r="A15" t="s">
        <v>22</v>
      </c>
      <c r="B15" s="5">
        <f>B12/B$5*2^B$9</f>
        <v>1124.664406779661</v>
      </c>
      <c r="C15" s="4" t="s">
        <v>24</v>
      </c>
    </row>
    <row r="16" spans="1:3" x14ac:dyDescent="0.2">
      <c r="A16" t="s">
        <v>23</v>
      </c>
      <c r="B16" s="5">
        <f>B13/B$5*2^B$9</f>
        <v>3998.8067796610171</v>
      </c>
      <c r="C16" s="4" t="s">
        <v>24</v>
      </c>
    </row>
  </sheetData>
  <phoneticPr fontId="3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11"/>
  <sheetViews>
    <sheetView workbookViewId="0"/>
  </sheetViews>
  <sheetFormatPr defaultRowHeight="12.75" x14ac:dyDescent="0.2"/>
  <cols>
    <col min="1" max="1" width="24.28515625" customWidth="1"/>
    <col min="3" max="3" width="9.140625" style="4"/>
  </cols>
  <sheetData>
    <row r="1" spans="1:3" x14ac:dyDescent="0.2">
      <c r="A1" s="1" t="s">
        <v>1</v>
      </c>
      <c r="B1" s="1" t="s">
        <v>2</v>
      </c>
      <c r="C1" s="3" t="s">
        <v>3</v>
      </c>
    </row>
    <row r="2" spans="1:3" x14ac:dyDescent="0.2">
      <c r="A2" t="s">
        <v>0</v>
      </c>
      <c r="B2">
        <v>3.2</v>
      </c>
      <c r="C2" s="4" t="s">
        <v>4</v>
      </c>
    </row>
    <row r="3" spans="1:3" x14ac:dyDescent="0.2">
      <c r="A3" t="s">
        <v>5</v>
      </c>
      <c r="B3">
        <v>0.02</v>
      </c>
      <c r="C3" s="4" t="s">
        <v>6</v>
      </c>
    </row>
    <row r="4" spans="1:3" x14ac:dyDescent="0.2">
      <c r="A4" t="s">
        <v>7</v>
      </c>
      <c r="B4">
        <v>2</v>
      </c>
      <c r="C4" s="4" t="s">
        <v>8</v>
      </c>
    </row>
    <row r="5" spans="1:3" x14ac:dyDescent="0.2">
      <c r="A5" t="s">
        <v>11</v>
      </c>
      <c r="B5">
        <v>130</v>
      </c>
      <c r="C5" s="4" t="s">
        <v>12</v>
      </c>
    </row>
    <row r="6" spans="1:3" x14ac:dyDescent="0.2">
      <c r="A6" t="s">
        <v>9</v>
      </c>
      <c r="B6">
        <v>9</v>
      </c>
      <c r="C6" s="4" t="s">
        <v>4</v>
      </c>
    </row>
    <row r="7" spans="1:3" x14ac:dyDescent="0.2">
      <c r="A7" t="s">
        <v>10</v>
      </c>
      <c r="B7">
        <v>32</v>
      </c>
      <c r="C7" s="4" t="s">
        <v>4</v>
      </c>
    </row>
    <row r="10" spans="1:3" x14ac:dyDescent="0.2">
      <c r="A10" t="s">
        <v>13</v>
      </c>
      <c r="B10" s="2">
        <f>(B6-B$4*B$2)/B$5</f>
        <v>1.9999999999999997E-2</v>
      </c>
      <c r="C10" s="4" t="s">
        <v>6</v>
      </c>
    </row>
    <row r="11" spans="1:3" x14ac:dyDescent="0.2">
      <c r="A11" t="s">
        <v>14</v>
      </c>
      <c r="B11" s="2">
        <f>(B7-B$4*B$2)/B$5</f>
        <v>0.19692307692307692</v>
      </c>
      <c r="C11" s="4" t="s">
        <v>6</v>
      </c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5"/>
  <sheetViews>
    <sheetView workbookViewId="0">
      <selection sqref="A1:E1"/>
    </sheetView>
  </sheetViews>
  <sheetFormatPr defaultRowHeight="12.75" x14ac:dyDescent="0.2"/>
  <cols>
    <col min="1" max="1" width="18.5703125" bestFit="1" customWidth="1"/>
    <col min="2" max="2" width="14.42578125" customWidth="1"/>
  </cols>
  <sheetData>
    <row r="1" spans="1:5" x14ac:dyDescent="0.2">
      <c r="A1" s="1" t="s">
        <v>53</v>
      </c>
      <c r="B1" s="1" t="s">
        <v>54</v>
      </c>
      <c r="C1" s="14"/>
      <c r="D1" s="1" t="s">
        <v>71</v>
      </c>
      <c r="E1" s="14"/>
    </row>
    <row r="2" spans="1:5" x14ac:dyDescent="0.2">
      <c r="A2" t="s">
        <v>55</v>
      </c>
      <c r="B2">
        <v>1.179</v>
      </c>
      <c r="C2" t="s">
        <v>57</v>
      </c>
    </row>
    <row r="3" spans="1:5" x14ac:dyDescent="0.2">
      <c r="A3" t="s">
        <v>56</v>
      </c>
      <c r="B3">
        <v>3.25</v>
      </c>
      <c r="C3" t="s">
        <v>57</v>
      </c>
    </row>
    <row r="4" spans="1:5" x14ac:dyDescent="0.2">
      <c r="A4" t="s">
        <v>59</v>
      </c>
      <c r="B4">
        <f>B2/2-0.315</f>
        <v>0.27450000000000002</v>
      </c>
    </row>
    <row r="5" spans="1:5" x14ac:dyDescent="0.2">
      <c r="A5" t="s">
        <v>58</v>
      </c>
      <c r="B5">
        <f>(B3-2.972)/2</f>
        <v>0.13900000000000001</v>
      </c>
      <c r="C5" s="11" t="s">
        <v>60</v>
      </c>
    </row>
    <row r="6" spans="1:5" x14ac:dyDescent="0.2">
      <c r="A6" t="s">
        <v>61</v>
      </c>
      <c r="B6">
        <f>B4</f>
        <v>0.27450000000000002</v>
      </c>
    </row>
    <row r="7" spans="1:5" x14ac:dyDescent="0.2">
      <c r="A7" t="s">
        <v>62</v>
      </c>
      <c r="B7">
        <f>B5+2.972</f>
        <v>3.1109999999999998</v>
      </c>
    </row>
    <row r="8" spans="1:5" x14ac:dyDescent="0.2">
      <c r="A8" t="s">
        <v>63</v>
      </c>
      <c r="B8">
        <f>B4+0.6299</f>
        <v>0.90440000000000009</v>
      </c>
    </row>
    <row r="9" spans="1:5" x14ac:dyDescent="0.2">
      <c r="A9" t="s">
        <v>64</v>
      </c>
      <c r="B9">
        <f>B7</f>
        <v>3.1109999999999998</v>
      </c>
    </row>
    <row r="10" spans="1:5" x14ac:dyDescent="0.2">
      <c r="A10" t="s">
        <v>65</v>
      </c>
      <c r="B10">
        <f>B8</f>
        <v>0.90440000000000009</v>
      </c>
    </row>
    <row r="11" spans="1:5" x14ac:dyDescent="0.2">
      <c r="A11" t="s">
        <v>66</v>
      </c>
      <c r="B11">
        <f>B5</f>
        <v>0.13900000000000001</v>
      </c>
    </row>
    <row r="12" spans="1:5" x14ac:dyDescent="0.2">
      <c r="A12" t="s">
        <v>67</v>
      </c>
      <c r="B12">
        <f>B2/2-0.646</f>
        <v>-5.6499999999999995E-2</v>
      </c>
    </row>
    <row r="13" spans="1:5" x14ac:dyDescent="0.2">
      <c r="A13" t="s">
        <v>68</v>
      </c>
      <c r="B13">
        <v>2.3250000000000002</v>
      </c>
    </row>
    <row r="14" spans="1:5" x14ac:dyDescent="0.2">
      <c r="A14" t="s">
        <v>69</v>
      </c>
      <c r="B14">
        <f>B2/2+0.648</f>
        <v>1.2375</v>
      </c>
    </row>
    <row r="15" spans="1:5" x14ac:dyDescent="0.2">
      <c r="A15" t="s">
        <v>70</v>
      </c>
      <c r="B15">
        <f>B13</f>
        <v>2.3250000000000002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50</v>
      </c>
    </row>
    <row r="2" spans="1:5" x14ac:dyDescent="0.2">
      <c r="A2" t="s">
        <v>72</v>
      </c>
      <c r="B2">
        <v>80</v>
      </c>
      <c r="C2" s="4" t="s">
        <v>73</v>
      </c>
      <c r="E2" t="s">
        <v>74</v>
      </c>
    </row>
    <row r="4" spans="1:5" x14ac:dyDescent="0.2">
      <c r="A4" t="s">
        <v>75</v>
      </c>
      <c r="B4">
        <v>2</v>
      </c>
      <c r="C4" s="4" t="s">
        <v>35</v>
      </c>
    </row>
    <row r="6" spans="1:5" x14ac:dyDescent="0.2">
      <c r="A6" t="s">
        <v>76</v>
      </c>
      <c r="B6">
        <f>8+0.75*B2</f>
        <v>68</v>
      </c>
      <c r="C6" s="4" t="s">
        <v>35</v>
      </c>
      <c r="E6" t="s">
        <v>168</v>
      </c>
    </row>
    <row r="7" spans="1:5" x14ac:dyDescent="0.2">
      <c r="A7" t="s">
        <v>77</v>
      </c>
      <c r="B7">
        <v>0.5</v>
      </c>
      <c r="C7" s="4" t="s">
        <v>35</v>
      </c>
      <c r="E7" t="s">
        <v>78</v>
      </c>
    </row>
    <row r="8" spans="1:5" x14ac:dyDescent="0.2">
      <c r="A8" t="s">
        <v>79</v>
      </c>
      <c r="B8">
        <v>70</v>
      </c>
      <c r="C8" s="4" t="s">
        <v>35</v>
      </c>
      <c r="E8" t="s">
        <v>80</v>
      </c>
    </row>
    <row r="9" spans="1:5" x14ac:dyDescent="0.2">
      <c r="A9" t="s">
        <v>81</v>
      </c>
      <c r="B9">
        <v>0.5</v>
      </c>
      <c r="C9" s="4" t="s">
        <v>35</v>
      </c>
      <c r="E9" t="s">
        <v>165</v>
      </c>
    </row>
    <row r="10" spans="1:5" x14ac:dyDescent="0.2">
      <c r="A10" t="s">
        <v>167</v>
      </c>
      <c r="B10">
        <v>2</v>
      </c>
      <c r="C10" s="4" t="s">
        <v>35</v>
      </c>
    </row>
    <row r="11" spans="1:5" x14ac:dyDescent="0.2">
      <c r="A11" s="16" t="s">
        <v>164</v>
      </c>
      <c r="B11">
        <f>SUM(B6:B10)</f>
        <v>141</v>
      </c>
      <c r="C11" s="4" t="s">
        <v>35</v>
      </c>
    </row>
    <row r="15" spans="1:5" x14ac:dyDescent="0.2">
      <c r="A15" s="1" t="s">
        <v>82</v>
      </c>
      <c r="B15" s="1"/>
      <c r="C15" s="1"/>
      <c r="D15" s="1"/>
      <c r="E15" s="13" t="s">
        <v>92</v>
      </c>
    </row>
    <row r="16" spans="1:5" x14ac:dyDescent="0.2">
      <c r="A16" t="s">
        <v>84</v>
      </c>
      <c r="B16">
        <v>24</v>
      </c>
      <c r="C16" s="4" t="s">
        <v>4</v>
      </c>
      <c r="E16" t="s">
        <v>85</v>
      </c>
    </row>
    <row r="17" spans="1:5" x14ac:dyDescent="0.2">
      <c r="A17" t="s">
        <v>83</v>
      </c>
      <c r="B17" s="2">
        <f>1000*B16/118000</f>
        <v>0.20338983050847459</v>
      </c>
      <c r="C17" s="4" t="s">
        <v>35</v>
      </c>
      <c r="E17" t="s">
        <v>86</v>
      </c>
    </row>
    <row r="18" spans="1:5" x14ac:dyDescent="0.2">
      <c r="A18" t="s">
        <v>87</v>
      </c>
      <c r="B18">
        <v>1.2E-2</v>
      </c>
      <c r="C18" s="4" t="s">
        <v>35</v>
      </c>
      <c r="E18" t="s">
        <v>90</v>
      </c>
    </row>
    <row r="19" spans="1:5" x14ac:dyDescent="0.2">
      <c r="A19" t="s">
        <v>88</v>
      </c>
      <c r="B19">
        <v>2.5000000000000001E-2</v>
      </c>
      <c r="C19" s="4" t="s">
        <v>35</v>
      </c>
    </row>
    <row r="20" spans="1:5" x14ac:dyDescent="0.2">
      <c r="A20" t="s">
        <v>89</v>
      </c>
    </row>
    <row r="21" spans="1:5" x14ac:dyDescent="0.2">
      <c r="A21" t="s">
        <v>91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374</v>
      </c>
      <c r="B1" s="41" t="s">
        <v>2</v>
      </c>
      <c r="C1" s="41" t="s">
        <v>3</v>
      </c>
      <c r="D1" s="41" t="s">
        <v>50</v>
      </c>
    </row>
    <row r="2" spans="1:4" x14ac:dyDescent="0.2">
      <c r="A2" t="s">
        <v>375</v>
      </c>
      <c r="B2">
        <v>32</v>
      </c>
      <c r="C2" t="s">
        <v>4</v>
      </c>
    </row>
    <row r="3" spans="1:4" x14ac:dyDescent="0.2">
      <c r="A3" s="40" t="s">
        <v>381</v>
      </c>
      <c r="B3" s="40">
        <v>200</v>
      </c>
      <c r="C3" s="40" t="s">
        <v>12</v>
      </c>
    </row>
    <row r="4" spans="1:4" x14ac:dyDescent="0.2">
      <c r="A4" s="40" t="s">
        <v>382</v>
      </c>
      <c r="B4" s="40">
        <v>12.5</v>
      </c>
      <c r="C4" s="40" t="s">
        <v>12</v>
      </c>
    </row>
    <row r="5" spans="1:4" x14ac:dyDescent="0.2">
      <c r="A5" s="40" t="s">
        <v>383</v>
      </c>
      <c r="B5">
        <f>B2*B4/(B3+B4)</f>
        <v>1.8823529411764706</v>
      </c>
      <c r="C5" s="40" t="s">
        <v>4</v>
      </c>
    </row>
    <row r="6" spans="1:4" x14ac:dyDescent="0.2">
      <c r="A6" s="40" t="s">
        <v>397</v>
      </c>
      <c r="B6">
        <f>0.99*B5</f>
        <v>1.8635294117647059</v>
      </c>
      <c r="C6" s="40" t="s">
        <v>4</v>
      </c>
      <c r="D6" s="40" t="s">
        <v>398</v>
      </c>
    </row>
    <row r="7" spans="1:4" x14ac:dyDescent="0.2">
      <c r="A7" s="40" t="s">
        <v>399</v>
      </c>
      <c r="B7">
        <f>1.01*B5</f>
        <v>1.9011764705882352</v>
      </c>
      <c r="C7" s="40" t="s">
        <v>4</v>
      </c>
      <c r="D7" s="40" t="s">
        <v>400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385</v>
      </c>
      <c r="B10">
        <f>B24</f>
        <v>1.8839999999999999</v>
      </c>
      <c r="C10" s="40" t="s">
        <v>4</v>
      </c>
    </row>
    <row r="11" spans="1:4" x14ac:dyDescent="0.2">
      <c r="A11" s="40" t="s">
        <v>386</v>
      </c>
      <c r="B11">
        <f>B25</f>
        <v>2.1909999999999998</v>
      </c>
      <c r="C11" s="40" t="s">
        <v>4</v>
      </c>
    </row>
    <row r="12" spans="1:4" x14ac:dyDescent="0.2">
      <c r="A12" s="40" t="s">
        <v>390</v>
      </c>
      <c r="B12">
        <v>0</v>
      </c>
      <c r="C12" s="40" t="s">
        <v>4</v>
      </c>
    </row>
    <row r="13" spans="1:4" x14ac:dyDescent="0.2">
      <c r="A13" s="40" t="s">
        <v>387</v>
      </c>
      <c r="B13">
        <v>31</v>
      </c>
      <c r="C13" s="40" t="s">
        <v>388</v>
      </c>
      <c r="D13" s="40" t="s">
        <v>389</v>
      </c>
    </row>
    <row r="14" spans="1:4" x14ac:dyDescent="0.2">
      <c r="A14" s="40" t="s">
        <v>391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392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376</v>
      </c>
      <c r="B17">
        <v>3.3</v>
      </c>
      <c r="C17" t="s">
        <v>4</v>
      </c>
    </row>
    <row r="18" spans="1:4" x14ac:dyDescent="0.2">
      <c r="A18" s="40" t="s">
        <v>393</v>
      </c>
      <c r="B18">
        <f>0.99*B17</f>
        <v>3.2669999999999999</v>
      </c>
      <c r="C18" s="40" t="s">
        <v>4</v>
      </c>
      <c r="D18" s="40" t="s">
        <v>394</v>
      </c>
    </row>
    <row r="19" spans="1:4" x14ac:dyDescent="0.2">
      <c r="A19" s="40" t="s">
        <v>395</v>
      </c>
      <c r="B19">
        <f>1.01*B17</f>
        <v>3.3329999999999997</v>
      </c>
      <c r="C19" s="40" t="s">
        <v>4</v>
      </c>
      <c r="D19" s="40" t="s">
        <v>396</v>
      </c>
    </row>
    <row r="20" spans="1:4" x14ac:dyDescent="0.2">
      <c r="A20" s="40"/>
      <c r="C20" s="40"/>
      <c r="D20" s="40"/>
    </row>
    <row r="21" spans="1:4" x14ac:dyDescent="0.2">
      <c r="A21" s="40" t="s">
        <v>384</v>
      </c>
      <c r="B21">
        <v>1.024</v>
      </c>
      <c r="C21" s="40" t="s">
        <v>4</v>
      </c>
    </row>
    <row r="22" spans="1:4" x14ac:dyDescent="0.2">
      <c r="A22" t="s">
        <v>377</v>
      </c>
      <c r="B22">
        <v>1.946</v>
      </c>
      <c r="C22" t="s">
        <v>4</v>
      </c>
      <c r="D22" t="s">
        <v>379</v>
      </c>
    </row>
    <row r="23" spans="1:4" x14ac:dyDescent="0.2">
      <c r="A23" t="s">
        <v>378</v>
      </c>
      <c r="B23">
        <v>2.1709999999999998</v>
      </c>
      <c r="C23" t="s">
        <v>4</v>
      </c>
      <c r="D23" t="s">
        <v>379</v>
      </c>
    </row>
    <row r="24" spans="1:4" x14ac:dyDescent="0.2">
      <c r="A24" t="s">
        <v>377</v>
      </c>
      <c r="B24">
        <v>1.8839999999999999</v>
      </c>
      <c r="C24" t="s">
        <v>4</v>
      </c>
      <c r="D24" t="s">
        <v>380</v>
      </c>
    </row>
    <row r="25" spans="1:4" x14ac:dyDescent="0.2">
      <c r="A25" t="s">
        <v>378</v>
      </c>
      <c r="B25">
        <v>2.1909999999999998</v>
      </c>
      <c r="C25" t="s">
        <v>4</v>
      </c>
      <c r="D25" t="s">
        <v>380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E63"/>
  <sheetViews>
    <sheetView topLeftCell="A19"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50</v>
      </c>
    </row>
    <row r="2" spans="1:5" x14ac:dyDescent="0.2">
      <c r="A2" t="s">
        <v>26</v>
      </c>
      <c r="B2">
        <v>3.3</v>
      </c>
      <c r="C2" s="4" t="s">
        <v>4</v>
      </c>
      <c r="E2" t="s">
        <v>49</v>
      </c>
    </row>
    <row r="4" spans="1:5" x14ac:dyDescent="0.2">
      <c r="A4" t="s">
        <v>44</v>
      </c>
      <c r="B4">
        <v>9</v>
      </c>
      <c r="C4" s="4" t="s">
        <v>4</v>
      </c>
    </row>
    <row r="5" spans="1:5" x14ac:dyDescent="0.2">
      <c r="A5" t="s">
        <v>46</v>
      </c>
      <c r="B5">
        <v>24</v>
      </c>
      <c r="C5" s="4" t="s">
        <v>4</v>
      </c>
    </row>
    <row r="6" spans="1:5" x14ac:dyDescent="0.2">
      <c r="A6" t="s">
        <v>45</v>
      </c>
      <c r="B6">
        <v>36</v>
      </c>
      <c r="C6" s="4" t="s">
        <v>4</v>
      </c>
    </row>
    <row r="8" spans="1:5" x14ac:dyDescent="0.2">
      <c r="A8" t="s">
        <v>52</v>
      </c>
      <c r="B8">
        <v>0.5</v>
      </c>
      <c r="C8" s="4" t="s">
        <v>35</v>
      </c>
    </row>
    <row r="9" spans="1:5" x14ac:dyDescent="0.2">
      <c r="A9" t="s">
        <v>47</v>
      </c>
      <c r="B9">
        <v>20</v>
      </c>
      <c r="C9" s="4" t="s">
        <v>35</v>
      </c>
    </row>
    <row r="10" spans="1:5" x14ac:dyDescent="0.2">
      <c r="A10" t="s">
        <v>48</v>
      </c>
      <c r="B10">
        <v>50</v>
      </c>
      <c r="C10" s="4" t="s">
        <v>35</v>
      </c>
      <c r="E10" t="s">
        <v>166</v>
      </c>
    </row>
    <row r="12" spans="1:5" x14ac:dyDescent="0.2">
      <c r="A12" t="s">
        <v>27</v>
      </c>
      <c r="B12">
        <v>3</v>
      </c>
      <c r="C12" s="4" t="s">
        <v>4</v>
      </c>
    </row>
    <row r="13" spans="1:5" x14ac:dyDescent="0.2">
      <c r="A13" t="s">
        <v>28</v>
      </c>
      <c r="B13">
        <f>1000*0.0000003</f>
        <v>2.9999999999999997E-4</v>
      </c>
      <c r="C13" s="4" t="s">
        <v>35</v>
      </c>
    </row>
    <row r="14" spans="1:5" x14ac:dyDescent="0.2">
      <c r="A14" t="s">
        <v>31</v>
      </c>
      <c r="B14">
        <v>18000</v>
      </c>
      <c r="C14" s="4" t="s">
        <v>12</v>
      </c>
    </row>
    <row r="15" spans="1:5" x14ac:dyDescent="0.2">
      <c r="A15" t="s">
        <v>36</v>
      </c>
      <c r="B15">
        <v>100000</v>
      </c>
      <c r="C15" s="4" t="s">
        <v>12</v>
      </c>
    </row>
    <row r="16" spans="1:5" x14ac:dyDescent="0.2">
      <c r="A16" t="s">
        <v>32</v>
      </c>
      <c r="B16">
        <v>0.6</v>
      </c>
      <c r="C16" s="4" t="s">
        <v>4</v>
      </c>
    </row>
    <row r="17" spans="1:5" x14ac:dyDescent="0.2">
      <c r="A17" t="s">
        <v>39</v>
      </c>
      <c r="B17">
        <v>4.8</v>
      </c>
      <c r="C17" s="4" t="s">
        <v>4</v>
      </c>
      <c r="E17" t="s">
        <v>42</v>
      </c>
    </row>
    <row r="18" spans="1:5" x14ac:dyDescent="0.2">
      <c r="A18" t="s">
        <v>33</v>
      </c>
      <c r="B18">
        <v>40</v>
      </c>
      <c r="C18" s="4" t="s">
        <v>4</v>
      </c>
      <c r="E18" t="s">
        <v>43</v>
      </c>
    </row>
    <row r="20" spans="1:5" x14ac:dyDescent="0.2">
      <c r="A20" t="s">
        <v>169</v>
      </c>
      <c r="B20">
        <f>(B4-$B$2)*B8</f>
        <v>2.85</v>
      </c>
      <c r="C20" s="4" t="s">
        <v>51</v>
      </c>
    </row>
    <row r="21" spans="1:5" x14ac:dyDescent="0.2">
      <c r="A21" t="s">
        <v>170</v>
      </c>
      <c r="B21">
        <f>(B5-$B$2)*B9</f>
        <v>414</v>
      </c>
      <c r="C21" s="4" t="s">
        <v>51</v>
      </c>
    </row>
    <row r="22" spans="1:5" x14ac:dyDescent="0.2">
      <c r="A22" s="9" t="s">
        <v>171</v>
      </c>
      <c r="B22" s="9">
        <f>(B6-$B$2)*B10</f>
        <v>1635.0000000000002</v>
      </c>
      <c r="C22" s="10" t="s">
        <v>51</v>
      </c>
      <c r="D22" s="9"/>
      <c r="E22" s="9" t="s">
        <v>172</v>
      </c>
    </row>
    <row r="24" spans="1:5" x14ac:dyDescent="0.2">
      <c r="A24" t="s">
        <v>29</v>
      </c>
      <c r="B24" s="6">
        <f>5/B13</f>
        <v>16666.666666666668</v>
      </c>
      <c r="C24" s="4" t="s">
        <v>30</v>
      </c>
    </row>
    <row r="25" spans="1:5" x14ac:dyDescent="0.2">
      <c r="A25" t="s">
        <v>34</v>
      </c>
      <c r="B25" s="7">
        <f>1000*(B18-B17-B16)/B14</f>
        <v>1.9222222222222223</v>
      </c>
      <c r="C25" s="4" t="s">
        <v>35</v>
      </c>
    </row>
    <row r="26" spans="1:5" x14ac:dyDescent="0.2">
      <c r="B26" s="2"/>
    </row>
    <row r="27" spans="1:5" x14ac:dyDescent="0.2">
      <c r="A27" t="s">
        <v>37</v>
      </c>
      <c r="B27" s="2" t="s">
        <v>41</v>
      </c>
      <c r="C27" s="4" t="s">
        <v>40</v>
      </c>
      <c r="D27" t="s">
        <v>38</v>
      </c>
    </row>
    <row r="28" spans="1:5" x14ac:dyDescent="0.2">
      <c r="A28">
        <v>0</v>
      </c>
      <c r="B28" s="7">
        <f>IF($B$17&lt;D28,$B$17,D28)</f>
        <v>0</v>
      </c>
      <c r="C28" s="8">
        <f>1000*(A28-B28)/B$14</f>
        <v>0</v>
      </c>
      <c r="D28">
        <f>A28*B$15/(B$14+B$15)</f>
        <v>0</v>
      </c>
    </row>
    <row r="29" spans="1:5" x14ac:dyDescent="0.2">
      <c r="A29">
        <v>0.5</v>
      </c>
      <c r="B29" s="7">
        <f t="shared" ref="B29:B63" si="0">IF($B$17&lt;D29,$B$17,D29)</f>
        <v>0.42372881355932202</v>
      </c>
      <c r="C29" s="8">
        <f t="shared" ref="C29:C63" si="1">1000*(A29-B29)/B$14</f>
        <v>4.2372881355932212E-3</v>
      </c>
      <c r="D29">
        <f t="shared" ref="D29:D63" si="2">A29*B$15/(B$14+B$15)</f>
        <v>0.42372881355932202</v>
      </c>
    </row>
    <row r="30" spans="1:5" x14ac:dyDescent="0.2">
      <c r="A30">
        <v>1</v>
      </c>
      <c r="B30" s="7">
        <f t="shared" si="0"/>
        <v>0.84745762711864403</v>
      </c>
      <c r="C30" s="8">
        <f t="shared" si="1"/>
        <v>8.4745762711864424E-3</v>
      </c>
      <c r="D30">
        <f t="shared" si="2"/>
        <v>0.84745762711864403</v>
      </c>
    </row>
    <row r="31" spans="1:5" x14ac:dyDescent="0.2">
      <c r="A31">
        <v>1.5</v>
      </c>
      <c r="B31" s="7">
        <f t="shared" si="0"/>
        <v>1.271186440677966</v>
      </c>
      <c r="C31" s="8">
        <f t="shared" si="1"/>
        <v>1.2711864406779665E-2</v>
      </c>
      <c r="D31">
        <f t="shared" si="2"/>
        <v>1.271186440677966</v>
      </c>
    </row>
    <row r="32" spans="1:5" x14ac:dyDescent="0.2">
      <c r="A32">
        <v>2</v>
      </c>
      <c r="B32" s="7">
        <f t="shared" si="0"/>
        <v>1.6949152542372881</v>
      </c>
      <c r="C32" s="8">
        <f t="shared" si="1"/>
        <v>1.6949152542372885E-2</v>
      </c>
      <c r="D32">
        <f t="shared" si="2"/>
        <v>1.6949152542372881</v>
      </c>
    </row>
    <row r="33" spans="1:4" x14ac:dyDescent="0.2">
      <c r="A33">
        <v>2.5</v>
      </c>
      <c r="B33" s="7">
        <f t="shared" si="0"/>
        <v>2.1186440677966103</v>
      </c>
      <c r="C33" s="8">
        <f t="shared" si="1"/>
        <v>2.1186440677966097E-2</v>
      </c>
      <c r="D33">
        <f t="shared" si="2"/>
        <v>2.1186440677966103</v>
      </c>
    </row>
    <row r="34" spans="1:4" x14ac:dyDescent="0.2">
      <c r="A34">
        <v>3</v>
      </c>
      <c r="B34" s="7">
        <f t="shared" si="0"/>
        <v>2.5423728813559321</v>
      </c>
      <c r="C34" s="8">
        <f t="shared" si="1"/>
        <v>2.5423728813559331E-2</v>
      </c>
      <c r="D34">
        <f t="shared" si="2"/>
        <v>2.5423728813559321</v>
      </c>
    </row>
    <row r="35" spans="1:4" x14ac:dyDescent="0.2">
      <c r="A35">
        <v>3.5</v>
      </c>
      <c r="B35" s="7">
        <f t="shared" si="0"/>
        <v>2.9661016949152543</v>
      </c>
      <c r="C35" s="8">
        <f t="shared" si="1"/>
        <v>2.9661016949152536E-2</v>
      </c>
      <c r="D35">
        <f t="shared" si="2"/>
        <v>2.9661016949152543</v>
      </c>
    </row>
    <row r="36" spans="1:4" x14ac:dyDescent="0.2">
      <c r="A36">
        <v>4</v>
      </c>
      <c r="B36" s="7">
        <f t="shared" si="0"/>
        <v>3.3898305084745761</v>
      </c>
      <c r="C36" s="8">
        <f t="shared" si="1"/>
        <v>3.389830508474577E-2</v>
      </c>
      <c r="D36">
        <f t="shared" si="2"/>
        <v>3.3898305084745761</v>
      </c>
    </row>
    <row r="37" spans="1:4" x14ac:dyDescent="0.2">
      <c r="A37">
        <v>4.5</v>
      </c>
      <c r="B37" s="7">
        <f t="shared" si="0"/>
        <v>3.8135593220338984</v>
      </c>
      <c r="C37" s="8">
        <f t="shared" si="1"/>
        <v>3.8135593220338979E-2</v>
      </c>
      <c r="D37">
        <f t="shared" si="2"/>
        <v>3.8135593220338984</v>
      </c>
    </row>
    <row r="38" spans="1:4" x14ac:dyDescent="0.2">
      <c r="A38">
        <v>5</v>
      </c>
      <c r="B38" s="7">
        <f t="shared" si="0"/>
        <v>4.2372881355932206</v>
      </c>
      <c r="C38" s="8">
        <f t="shared" si="1"/>
        <v>4.2372881355932195E-2</v>
      </c>
      <c r="D38">
        <f t="shared" si="2"/>
        <v>4.2372881355932206</v>
      </c>
    </row>
    <row r="39" spans="1:4" x14ac:dyDescent="0.2">
      <c r="A39">
        <v>5.5</v>
      </c>
      <c r="B39" s="7">
        <f t="shared" si="0"/>
        <v>4.6610169491525424</v>
      </c>
      <c r="C39" s="8">
        <f t="shared" si="1"/>
        <v>4.6610169491525424E-2</v>
      </c>
      <c r="D39">
        <f t="shared" si="2"/>
        <v>4.6610169491525424</v>
      </c>
    </row>
    <row r="40" spans="1:4" x14ac:dyDescent="0.2">
      <c r="A40">
        <v>6</v>
      </c>
      <c r="B40" s="7">
        <f t="shared" si="0"/>
        <v>4.8</v>
      </c>
      <c r="C40" s="8">
        <f t="shared" si="1"/>
        <v>6.666666666666668E-2</v>
      </c>
      <c r="D40">
        <f t="shared" si="2"/>
        <v>5.0847457627118642</v>
      </c>
    </row>
    <row r="41" spans="1:4" x14ac:dyDescent="0.2">
      <c r="A41">
        <v>6.5</v>
      </c>
      <c r="B41" s="7">
        <f t="shared" si="0"/>
        <v>4.8</v>
      </c>
      <c r="C41" s="8">
        <f t="shared" si="1"/>
        <v>9.4444444444444456E-2</v>
      </c>
      <c r="D41">
        <f t="shared" si="2"/>
        <v>5.5084745762711869</v>
      </c>
    </row>
    <row r="42" spans="1:4" x14ac:dyDescent="0.2">
      <c r="A42">
        <v>7</v>
      </c>
      <c r="B42" s="7">
        <f t="shared" si="0"/>
        <v>4.8</v>
      </c>
      <c r="C42" s="8">
        <f t="shared" si="1"/>
        <v>0.12222222222222222</v>
      </c>
      <c r="D42">
        <f t="shared" si="2"/>
        <v>5.9322033898305087</v>
      </c>
    </row>
    <row r="43" spans="1:4" x14ac:dyDescent="0.2">
      <c r="A43">
        <v>7.5</v>
      </c>
      <c r="B43" s="7">
        <f t="shared" si="0"/>
        <v>4.8</v>
      </c>
      <c r="C43" s="8">
        <f t="shared" si="1"/>
        <v>0.15</v>
      </c>
      <c r="D43">
        <f t="shared" si="2"/>
        <v>6.3559322033898304</v>
      </c>
    </row>
    <row r="44" spans="1:4" x14ac:dyDescent="0.2">
      <c r="A44">
        <v>8</v>
      </c>
      <c r="B44" s="7">
        <f t="shared" si="0"/>
        <v>4.8</v>
      </c>
      <c r="C44" s="8">
        <f t="shared" si="1"/>
        <v>0.17777777777777778</v>
      </c>
      <c r="D44">
        <f t="shared" si="2"/>
        <v>6.7796610169491522</v>
      </c>
    </row>
    <row r="45" spans="1:4" x14ac:dyDescent="0.2">
      <c r="A45">
        <v>8.5</v>
      </c>
      <c r="B45" s="7">
        <f t="shared" si="0"/>
        <v>4.8</v>
      </c>
      <c r="C45" s="8">
        <f t="shared" si="1"/>
        <v>0.20555555555555555</v>
      </c>
      <c r="D45">
        <f t="shared" si="2"/>
        <v>7.2033898305084749</v>
      </c>
    </row>
    <row r="46" spans="1:4" x14ac:dyDescent="0.2">
      <c r="A46">
        <v>9</v>
      </c>
      <c r="B46" s="7">
        <f t="shared" si="0"/>
        <v>4.8</v>
      </c>
      <c r="C46" s="8">
        <f t="shared" si="1"/>
        <v>0.23333333333333334</v>
      </c>
      <c r="D46">
        <f t="shared" si="2"/>
        <v>7.6271186440677967</v>
      </c>
    </row>
    <row r="47" spans="1:4" x14ac:dyDescent="0.2">
      <c r="A47">
        <v>10</v>
      </c>
      <c r="B47" s="7">
        <f t="shared" si="0"/>
        <v>4.8</v>
      </c>
      <c r="C47" s="8">
        <f t="shared" si="1"/>
        <v>0.28888888888888886</v>
      </c>
      <c r="D47">
        <f t="shared" si="2"/>
        <v>8.4745762711864412</v>
      </c>
    </row>
    <row r="48" spans="1:4" x14ac:dyDescent="0.2">
      <c r="A48">
        <v>12</v>
      </c>
      <c r="B48" s="7">
        <f t="shared" si="0"/>
        <v>4.8</v>
      </c>
      <c r="C48" s="8">
        <f t="shared" si="1"/>
        <v>0.4</v>
      </c>
      <c r="D48">
        <f t="shared" si="2"/>
        <v>10.169491525423728</v>
      </c>
    </row>
    <row r="49" spans="1:4" x14ac:dyDescent="0.2">
      <c r="A49">
        <v>14</v>
      </c>
      <c r="B49" s="7">
        <f t="shared" si="0"/>
        <v>4.8</v>
      </c>
      <c r="C49" s="8">
        <f t="shared" si="1"/>
        <v>0.51111111111111107</v>
      </c>
      <c r="D49">
        <f t="shared" si="2"/>
        <v>11.864406779661017</v>
      </c>
    </row>
    <row r="50" spans="1:4" x14ac:dyDescent="0.2">
      <c r="A50">
        <v>16</v>
      </c>
      <c r="B50" s="7">
        <f t="shared" si="0"/>
        <v>4.8</v>
      </c>
      <c r="C50" s="8">
        <f t="shared" si="1"/>
        <v>0.62222222222222223</v>
      </c>
      <c r="D50">
        <f t="shared" si="2"/>
        <v>13.559322033898304</v>
      </c>
    </row>
    <row r="51" spans="1:4" x14ac:dyDescent="0.2">
      <c r="A51">
        <v>18</v>
      </c>
      <c r="B51" s="7">
        <f t="shared" si="0"/>
        <v>4.8</v>
      </c>
      <c r="C51" s="8">
        <f t="shared" si="1"/>
        <v>0.73333333333333328</v>
      </c>
      <c r="D51">
        <f t="shared" si="2"/>
        <v>15.254237288135593</v>
      </c>
    </row>
    <row r="52" spans="1:4" x14ac:dyDescent="0.2">
      <c r="A52">
        <v>20</v>
      </c>
      <c r="B52" s="7">
        <f t="shared" si="0"/>
        <v>4.8</v>
      </c>
      <c r="C52" s="8">
        <f t="shared" si="1"/>
        <v>0.84444444444444444</v>
      </c>
      <c r="D52">
        <f t="shared" si="2"/>
        <v>16.949152542372882</v>
      </c>
    </row>
    <row r="53" spans="1:4" x14ac:dyDescent="0.2">
      <c r="A53">
        <v>22</v>
      </c>
      <c r="B53" s="7">
        <f t="shared" si="0"/>
        <v>4.8</v>
      </c>
      <c r="C53" s="8">
        <f t="shared" si="1"/>
        <v>0.9555555555555556</v>
      </c>
      <c r="D53">
        <f t="shared" si="2"/>
        <v>18.64406779661017</v>
      </c>
    </row>
    <row r="54" spans="1:4" x14ac:dyDescent="0.2">
      <c r="A54">
        <v>24</v>
      </c>
      <c r="B54" s="7">
        <f t="shared" si="0"/>
        <v>4.8</v>
      </c>
      <c r="C54" s="8">
        <f t="shared" si="1"/>
        <v>1.0666666666666667</v>
      </c>
      <c r="D54">
        <f t="shared" si="2"/>
        <v>20.338983050847457</v>
      </c>
    </row>
    <row r="55" spans="1:4" x14ac:dyDescent="0.2">
      <c r="A55">
        <v>26</v>
      </c>
      <c r="B55" s="7">
        <f t="shared" si="0"/>
        <v>4.8</v>
      </c>
      <c r="C55" s="8">
        <f t="shared" si="1"/>
        <v>1.1777777777777778</v>
      </c>
      <c r="D55">
        <f t="shared" si="2"/>
        <v>22.033898305084747</v>
      </c>
    </row>
    <row r="56" spans="1:4" x14ac:dyDescent="0.2">
      <c r="A56">
        <v>28</v>
      </c>
      <c r="B56" s="7">
        <f t="shared" si="0"/>
        <v>4.8</v>
      </c>
      <c r="C56" s="8">
        <f t="shared" si="1"/>
        <v>1.288888888888889</v>
      </c>
      <c r="D56">
        <f t="shared" si="2"/>
        <v>23.728813559322035</v>
      </c>
    </row>
    <row r="57" spans="1:4" x14ac:dyDescent="0.2">
      <c r="A57">
        <v>30</v>
      </c>
      <c r="B57" s="7">
        <f t="shared" si="0"/>
        <v>4.8</v>
      </c>
      <c r="C57" s="8">
        <f t="shared" si="1"/>
        <v>1.4</v>
      </c>
      <c r="D57">
        <f t="shared" si="2"/>
        <v>25.423728813559322</v>
      </c>
    </row>
    <row r="58" spans="1:4" x14ac:dyDescent="0.2">
      <c r="A58">
        <v>32</v>
      </c>
      <c r="B58" s="7">
        <f t="shared" si="0"/>
        <v>4.8</v>
      </c>
      <c r="C58" s="8">
        <f t="shared" si="1"/>
        <v>1.5111111111111111</v>
      </c>
      <c r="D58">
        <f t="shared" si="2"/>
        <v>27.118644067796609</v>
      </c>
    </row>
    <row r="59" spans="1:4" x14ac:dyDescent="0.2">
      <c r="A59">
        <v>34</v>
      </c>
      <c r="B59" s="7">
        <f t="shared" si="0"/>
        <v>4.8</v>
      </c>
      <c r="C59" s="8">
        <f t="shared" si="1"/>
        <v>1.6222222222222222</v>
      </c>
      <c r="D59">
        <f t="shared" si="2"/>
        <v>28.8135593220339</v>
      </c>
    </row>
    <row r="60" spans="1:4" x14ac:dyDescent="0.2">
      <c r="A60">
        <v>36</v>
      </c>
      <c r="B60" s="7">
        <f t="shared" si="0"/>
        <v>4.8</v>
      </c>
      <c r="C60" s="8">
        <f t="shared" si="1"/>
        <v>1.7333333333333334</v>
      </c>
      <c r="D60">
        <f t="shared" si="2"/>
        <v>30.508474576271187</v>
      </c>
    </row>
    <row r="61" spans="1:4" x14ac:dyDescent="0.2">
      <c r="A61">
        <v>38</v>
      </c>
      <c r="B61" s="7">
        <f t="shared" si="0"/>
        <v>4.8</v>
      </c>
      <c r="C61" s="8">
        <f t="shared" si="1"/>
        <v>1.8444444444444446</v>
      </c>
      <c r="D61">
        <f t="shared" si="2"/>
        <v>32.203389830508478</v>
      </c>
    </row>
    <row r="62" spans="1:4" x14ac:dyDescent="0.2">
      <c r="A62">
        <v>40</v>
      </c>
      <c r="B62" s="7">
        <f t="shared" si="0"/>
        <v>4.8</v>
      </c>
      <c r="C62" s="8">
        <f t="shared" si="1"/>
        <v>1.9555555555555555</v>
      </c>
      <c r="D62">
        <f t="shared" si="2"/>
        <v>33.898305084745765</v>
      </c>
    </row>
    <row r="63" spans="1:4" x14ac:dyDescent="0.2">
      <c r="A63">
        <v>42</v>
      </c>
      <c r="B63" s="7">
        <f t="shared" si="0"/>
        <v>4.8</v>
      </c>
      <c r="C63" s="8">
        <f t="shared" si="1"/>
        <v>2.0666666666666669</v>
      </c>
      <c r="D63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50</v>
      </c>
    </row>
    <row r="2" spans="1:4" x14ac:dyDescent="0.2">
      <c r="A2" t="s">
        <v>130</v>
      </c>
      <c r="B2">
        <v>9</v>
      </c>
      <c r="C2" t="s">
        <v>131</v>
      </c>
      <c r="D2" t="s">
        <v>141</v>
      </c>
    </row>
    <row r="3" spans="1:4" x14ac:dyDescent="0.2">
      <c r="A3" t="s">
        <v>129</v>
      </c>
      <c r="B3">
        <v>5</v>
      </c>
      <c r="C3" t="s">
        <v>6</v>
      </c>
      <c r="D3" t="s">
        <v>142</v>
      </c>
    </row>
    <row r="4" spans="1:4" x14ac:dyDescent="0.2">
      <c r="A4" t="s">
        <v>140</v>
      </c>
      <c r="B4">
        <f>B2*B3</f>
        <v>45</v>
      </c>
      <c r="C4" t="s">
        <v>139</v>
      </c>
    </row>
    <row r="6" spans="1:4" x14ac:dyDescent="0.2">
      <c r="A6" t="s">
        <v>132</v>
      </c>
      <c r="B6">
        <v>12</v>
      </c>
      <c r="C6" t="s">
        <v>131</v>
      </c>
    </row>
    <row r="7" spans="1:4" x14ac:dyDescent="0.2">
      <c r="A7" t="s">
        <v>133</v>
      </c>
      <c r="B7" s="7">
        <f>B$3 * B6/B$2</f>
        <v>6.666666666666667</v>
      </c>
      <c r="C7" t="s">
        <v>6</v>
      </c>
    </row>
    <row r="8" spans="1:4" x14ac:dyDescent="0.2">
      <c r="A8" t="s">
        <v>136</v>
      </c>
      <c r="B8" s="7">
        <f>B6*B7</f>
        <v>80</v>
      </c>
      <c r="C8" t="s">
        <v>139</v>
      </c>
    </row>
    <row r="9" spans="1:4" x14ac:dyDescent="0.2">
      <c r="B9" s="7"/>
    </row>
    <row r="10" spans="1:4" x14ac:dyDescent="0.2">
      <c r="A10" t="s">
        <v>134</v>
      </c>
      <c r="B10">
        <v>24</v>
      </c>
      <c r="C10" t="s">
        <v>131</v>
      </c>
    </row>
    <row r="11" spans="1:4" x14ac:dyDescent="0.2">
      <c r="A11" t="s">
        <v>135</v>
      </c>
      <c r="B11" s="7">
        <f>B$3 * B10/B$2</f>
        <v>13.333333333333334</v>
      </c>
      <c r="C11" t="s">
        <v>6</v>
      </c>
    </row>
    <row r="12" spans="1:4" x14ac:dyDescent="0.2">
      <c r="A12" t="s">
        <v>137</v>
      </c>
      <c r="B12" s="7">
        <f>B10*B11</f>
        <v>320</v>
      </c>
      <c r="C12" t="s">
        <v>139</v>
      </c>
    </row>
    <row r="13" spans="1:4" x14ac:dyDescent="0.2">
      <c r="B13" s="7"/>
    </row>
    <row r="14" spans="1:4" x14ac:dyDescent="0.2">
      <c r="A14" t="s">
        <v>134</v>
      </c>
      <c r="B14">
        <v>32</v>
      </c>
      <c r="C14" t="s">
        <v>131</v>
      </c>
    </row>
    <row r="15" spans="1:4" x14ac:dyDescent="0.2">
      <c r="A15" t="s">
        <v>135</v>
      </c>
      <c r="B15" s="7">
        <f>B$3 * B14/B$2</f>
        <v>17.777777777777779</v>
      </c>
      <c r="C15" t="s">
        <v>6</v>
      </c>
    </row>
    <row r="16" spans="1:4" x14ac:dyDescent="0.2">
      <c r="A16" t="s">
        <v>138</v>
      </c>
      <c r="B16" s="7">
        <f>B14*B15</f>
        <v>568.88888888888891</v>
      </c>
      <c r="C16" t="s">
        <v>139</v>
      </c>
    </row>
  </sheetData>
  <phoneticPr fontId="3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93</v>
      </c>
      <c r="B1" s="1" t="s">
        <v>113</v>
      </c>
      <c r="C1" s="1" t="s">
        <v>95</v>
      </c>
      <c r="D1" s="1"/>
      <c r="E1" s="14"/>
    </row>
    <row r="2" spans="1:5" x14ac:dyDescent="0.2">
      <c r="A2" t="s">
        <v>94</v>
      </c>
      <c r="B2" s="11" t="s">
        <v>114</v>
      </c>
      <c r="C2" s="11" t="s">
        <v>126</v>
      </c>
      <c r="D2" t="s">
        <v>127</v>
      </c>
    </row>
    <row r="3" spans="1:5" x14ac:dyDescent="0.2">
      <c r="A3" t="s">
        <v>94</v>
      </c>
      <c r="B3" s="11" t="s">
        <v>115</v>
      </c>
      <c r="C3" s="11" t="s">
        <v>104</v>
      </c>
      <c r="D3" t="s">
        <v>128</v>
      </c>
    </row>
    <row r="4" spans="1:5" x14ac:dyDescent="0.2">
      <c r="A4" t="s">
        <v>94</v>
      </c>
      <c r="B4" s="11" t="s">
        <v>116</v>
      </c>
      <c r="C4" s="11" t="s">
        <v>105</v>
      </c>
      <c r="D4" t="s">
        <v>143</v>
      </c>
    </row>
    <row r="5" spans="1:5" x14ac:dyDescent="0.2">
      <c r="A5" t="s">
        <v>94</v>
      </c>
      <c r="B5" s="11" t="s">
        <v>117</v>
      </c>
      <c r="C5" s="11" t="s">
        <v>105</v>
      </c>
      <c r="D5" t="s">
        <v>144</v>
      </c>
    </row>
    <row r="6" spans="1:5" x14ac:dyDescent="0.2">
      <c r="A6" t="s">
        <v>94</v>
      </c>
      <c r="B6" s="11" t="s">
        <v>118</v>
      </c>
      <c r="C6" s="11" t="s">
        <v>145</v>
      </c>
      <c r="D6" t="s">
        <v>146</v>
      </c>
    </row>
    <row r="7" spans="1:5" x14ac:dyDescent="0.2">
      <c r="A7" t="s">
        <v>94</v>
      </c>
      <c r="B7" s="11" t="s">
        <v>100</v>
      </c>
      <c r="C7" s="11" t="s">
        <v>101</v>
      </c>
      <c r="D7" t="s">
        <v>149</v>
      </c>
    </row>
    <row r="8" spans="1:5" x14ac:dyDescent="0.2">
      <c r="A8" t="s">
        <v>94</v>
      </c>
      <c r="B8" s="12" t="s">
        <v>120</v>
      </c>
      <c r="C8" t="s">
        <v>102</v>
      </c>
    </row>
    <row r="9" spans="1:5" x14ac:dyDescent="0.2">
      <c r="A9" t="s">
        <v>94</v>
      </c>
      <c r="B9" s="12" t="s">
        <v>121</v>
      </c>
      <c r="C9" t="s">
        <v>103</v>
      </c>
    </row>
    <row r="10" spans="1:5" x14ac:dyDescent="0.2">
      <c r="A10" t="s">
        <v>94</v>
      </c>
      <c r="B10" s="12" t="s">
        <v>122</v>
      </c>
      <c r="C10" t="s">
        <v>103</v>
      </c>
    </row>
    <row r="12" spans="1:5" x14ac:dyDescent="0.2">
      <c r="B12" s="12" t="s">
        <v>119</v>
      </c>
      <c r="C12" t="s">
        <v>148</v>
      </c>
      <c r="D12" t="s">
        <v>147</v>
      </c>
    </row>
    <row r="14" spans="1:5" x14ac:dyDescent="0.2">
      <c r="A14" t="s">
        <v>155</v>
      </c>
      <c r="B14" s="11" t="s">
        <v>123</v>
      </c>
      <c r="C14" t="s">
        <v>153</v>
      </c>
      <c r="D14" t="s">
        <v>160</v>
      </c>
    </row>
    <row r="15" spans="1:5" x14ac:dyDescent="0.2">
      <c r="A15" t="s">
        <v>155</v>
      </c>
      <c r="B15" s="11" t="s">
        <v>156</v>
      </c>
      <c r="C15" t="s">
        <v>157</v>
      </c>
    </row>
    <row r="16" spans="1:5" x14ac:dyDescent="0.2">
      <c r="A16" t="s">
        <v>155</v>
      </c>
      <c r="B16" s="11" t="s">
        <v>158</v>
      </c>
      <c r="C16" t="s">
        <v>159</v>
      </c>
    </row>
    <row r="17" spans="1:4" x14ac:dyDescent="0.2">
      <c r="A17" t="s">
        <v>155</v>
      </c>
      <c r="B17" s="11" t="s">
        <v>161</v>
      </c>
      <c r="C17" t="s">
        <v>154</v>
      </c>
    </row>
    <row r="18" spans="1:4" x14ac:dyDescent="0.2">
      <c r="A18" t="s">
        <v>155</v>
      </c>
      <c r="B18" s="11" t="s">
        <v>111</v>
      </c>
      <c r="C18" t="s">
        <v>112</v>
      </c>
      <c r="D18" t="s">
        <v>179</v>
      </c>
    </row>
    <row r="19" spans="1:4" x14ac:dyDescent="0.2">
      <c r="A19" t="s">
        <v>97</v>
      </c>
      <c r="B19" s="11" t="s">
        <v>151</v>
      </c>
      <c r="C19" t="s">
        <v>150</v>
      </c>
    </row>
    <row r="22" spans="1:4" x14ac:dyDescent="0.2">
      <c r="A22" t="s">
        <v>96</v>
      </c>
      <c r="B22" s="11" t="s">
        <v>106</v>
      </c>
      <c r="C22" t="s">
        <v>107</v>
      </c>
      <c r="D22" t="s">
        <v>152</v>
      </c>
    </row>
    <row r="23" spans="1:4" x14ac:dyDescent="0.2">
      <c r="A23" t="s">
        <v>96</v>
      </c>
      <c r="B23" s="15" t="s">
        <v>108</v>
      </c>
      <c r="C23" t="s">
        <v>162</v>
      </c>
      <c r="D23" t="s">
        <v>163</v>
      </c>
    </row>
    <row r="24" spans="1:4" x14ac:dyDescent="0.2">
      <c r="A24" t="s">
        <v>96</v>
      </c>
      <c r="B24" s="11" t="s">
        <v>109</v>
      </c>
      <c r="C24" t="s">
        <v>110</v>
      </c>
      <c r="D24" t="s">
        <v>177</v>
      </c>
    </row>
    <row r="25" spans="1:4" x14ac:dyDescent="0.2">
      <c r="A25" t="s">
        <v>96</v>
      </c>
      <c r="B25" s="15" t="s">
        <v>124</v>
      </c>
      <c r="C25" t="s">
        <v>125</v>
      </c>
      <c r="D25" t="s">
        <v>178</v>
      </c>
    </row>
    <row r="26" spans="1:4" x14ac:dyDescent="0.2">
      <c r="A26" t="s">
        <v>96</v>
      </c>
      <c r="B26" s="12" t="s">
        <v>180</v>
      </c>
      <c r="C26" t="s">
        <v>200</v>
      </c>
    </row>
    <row r="27" spans="1:4" x14ac:dyDescent="0.2">
      <c r="A27" t="s">
        <v>96</v>
      </c>
      <c r="B27" s="27" t="s">
        <v>186</v>
      </c>
      <c r="C27" t="s">
        <v>187</v>
      </c>
    </row>
    <row r="28" spans="1:4" x14ac:dyDescent="0.2">
      <c r="A28" t="s">
        <v>96</v>
      </c>
      <c r="B28" s="12" t="s">
        <v>188</v>
      </c>
      <c r="C28" t="s">
        <v>189</v>
      </c>
      <c r="D28" t="s">
        <v>201</v>
      </c>
    </row>
    <row r="29" spans="1:4" x14ac:dyDescent="0.2">
      <c r="A29" t="s">
        <v>96</v>
      </c>
      <c r="B29" s="27" t="s">
        <v>190</v>
      </c>
      <c r="C29" t="s">
        <v>191</v>
      </c>
    </row>
    <row r="30" spans="1:4" x14ac:dyDescent="0.2">
      <c r="A30" t="s">
        <v>96</v>
      </c>
      <c r="B30" s="11" t="s">
        <v>192</v>
      </c>
      <c r="C30" t="s">
        <v>193</v>
      </c>
      <c r="D30" t="s">
        <v>203</v>
      </c>
    </row>
    <row r="31" spans="1:4" x14ac:dyDescent="0.2">
      <c r="A31" t="s">
        <v>96</v>
      </c>
      <c r="B31" s="27" t="s">
        <v>194</v>
      </c>
      <c r="C31" t="s">
        <v>195</v>
      </c>
      <c r="D31" t="s">
        <v>204</v>
      </c>
    </row>
    <row r="32" spans="1:4" x14ac:dyDescent="0.2">
      <c r="A32" t="s">
        <v>96</v>
      </c>
      <c r="B32" s="23" t="s">
        <v>196</v>
      </c>
      <c r="C32" t="s">
        <v>197</v>
      </c>
      <c r="D32" t="s">
        <v>210</v>
      </c>
    </row>
    <row r="33" spans="1:4" x14ac:dyDescent="0.2">
      <c r="A33" t="s">
        <v>96</v>
      </c>
      <c r="B33" s="12" t="s">
        <v>198</v>
      </c>
      <c r="C33" t="s">
        <v>199</v>
      </c>
    </row>
    <row r="34" spans="1:4" x14ac:dyDescent="0.2">
      <c r="A34" t="s">
        <v>96</v>
      </c>
      <c r="B34" s="12" t="s">
        <v>205</v>
      </c>
      <c r="C34" t="s">
        <v>206</v>
      </c>
      <c r="D34" t="s">
        <v>207</v>
      </c>
    </row>
    <row r="35" spans="1:4" x14ac:dyDescent="0.2">
      <c r="A35" t="s">
        <v>96</v>
      </c>
      <c r="B35" s="27" t="s">
        <v>211</v>
      </c>
      <c r="C35" t="s">
        <v>209</v>
      </c>
      <c r="D35" t="s">
        <v>208</v>
      </c>
    </row>
    <row r="39" spans="1:4" x14ac:dyDescent="0.2">
      <c r="A39" t="s">
        <v>98</v>
      </c>
      <c r="C39" t="s">
        <v>99</v>
      </c>
    </row>
    <row r="41" spans="1:4" ht="13.5" thickBot="1" x14ac:dyDescent="0.25"/>
    <row r="42" spans="1:4" x14ac:dyDescent="0.2">
      <c r="A42" s="17" t="s">
        <v>182</v>
      </c>
      <c r="B42" s="18" t="s">
        <v>181</v>
      </c>
      <c r="C42" s="19" t="s">
        <v>183</v>
      </c>
    </row>
    <row r="43" spans="1:4" x14ac:dyDescent="0.2">
      <c r="A43" s="28"/>
      <c r="B43" s="29" t="s">
        <v>173</v>
      </c>
      <c r="C43" s="22" t="s">
        <v>202</v>
      </c>
    </row>
    <row r="44" spans="1:4" x14ac:dyDescent="0.2">
      <c r="A44" s="20"/>
      <c r="B44" s="21" t="s">
        <v>173</v>
      </c>
      <c r="C44" s="22" t="s">
        <v>184</v>
      </c>
    </row>
    <row r="45" spans="1:4" x14ac:dyDescent="0.2">
      <c r="A45" s="20"/>
      <c r="B45" s="23" t="s">
        <v>175</v>
      </c>
      <c r="C45" s="22" t="s">
        <v>176</v>
      </c>
    </row>
    <row r="46" spans="1:4" ht="13.5" thickBot="1" x14ac:dyDescent="0.25">
      <c r="A46" s="24"/>
      <c r="B46" s="25" t="s">
        <v>174</v>
      </c>
      <c r="C46" s="26" t="s">
        <v>185</v>
      </c>
    </row>
  </sheetData>
  <phoneticPr fontId="3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215</v>
      </c>
    </row>
    <row r="2" spans="1:6" x14ac:dyDescent="0.2">
      <c r="A2" t="s">
        <v>293</v>
      </c>
    </row>
    <row r="3" spans="1:6" x14ac:dyDescent="0.2">
      <c r="A3" t="s">
        <v>294</v>
      </c>
    </row>
    <row r="5" spans="1:6" x14ac:dyDescent="0.2">
      <c r="A5" t="s">
        <v>317</v>
      </c>
      <c r="B5" t="s">
        <v>318</v>
      </c>
      <c r="C5" t="s">
        <v>319</v>
      </c>
      <c r="D5" t="s">
        <v>320</v>
      </c>
      <c r="E5" t="s">
        <v>321</v>
      </c>
      <c r="F5" t="s">
        <v>322</v>
      </c>
    </row>
    <row r="7" spans="1:6" x14ac:dyDescent="0.2">
      <c r="A7" t="s">
        <v>295</v>
      </c>
      <c r="B7" t="s">
        <v>296</v>
      </c>
      <c r="C7" t="s">
        <v>323</v>
      </c>
      <c r="D7" t="s">
        <v>297</v>
      </c>
      <c r="E7" t="s">
        <v>298</v>
      </c>
      <c r="F7" t="s">
        <v>299</v>
      </c>
    </row>
    <row r="8" spans="1:6" x14ac:dyDescent="0.2">
      <c r="A8" t="s">
        <v>300</v>
      </c>
      <c r="B8" t="s">
        <v>296</v>
      </c>
      <c r="C8" t="s">
        <v>324</v>
      </c>
      <c r="D8" t="s">
        <v>301</v>
      </c>
      <c r="E8" t="s">
        <v>302</v>
      </c>
      <c r="F8" t="s">
        <v>303</v>
      </c>
    </row>
    <row r="9" spans="1:6" x14ac:dyDescent="0.2">
      <c r="A9" t="s">
        <v>304</v>
      </c>
      <c r="B9" t="s">
        <v>296</v>
      </c>
      <c r="C9" t="s">
        <v>324</v>
      </c>
      <c r="D9" t="s">
        <v>305</v>
      </c>
      <c r="E9" t="s">
        <v>306</v>
      </c>
      <c r="F9" t="s">
        <v>307</v>
      </c>
    </row>
    <row r="10" spans="1:6" x14ac:dyDescent="0.2">
      <c r="A10" t="s">
        <v>308</v>
      </c>
      <c r="B10" t="s">
        <v>309</v>
      </c>
      <c r="C10" t="s">
        <v>325</v>
      </c>
      <c r="D10" t="s">
        <v>310</v>
      </c>
      <c r="E10" t="s">
        <v>311</v>
      </c>
      <c r="F10" t="s">
        <v>312</v>
      </c>
    </row>
    <row r="11" spans="1:6" x14ac:dyDescent="0.2">
      <c r="A11" t="s">
        <v>313</v>
      </c>
      <c r="B11" t="s">
        <v>296</v>
      </c>
      <c r="C11" t="s">
        <v>326</v>
      </c>
      <c r="D11" t="s">
        <v>314</v>
      </c>
      <c r="E11" t="s">
        <v>315</v>
      </c>
      <c r="F11" t="s">
        <v>316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242</v>
      </c>
      <c r="B1" s="37" t="s">
        <v>243</v>
      </c>
      <c r="C1" s="37" t="s">
        <v>275</v>
      </c>
      <c r="D1" s="37" t="s">
        <v>244</v>
      </c>
      <c r="E1" s="37" t="s">
        <v>213</v>
      </c>
      <c r="F1" s="37" t="s">
        <v>284</v>
      </c>
      <c r="G1" s="37" t="s">
        <v>263</v>
      </c>
      <c r="H1" s="37" t="s">
        <v>254</v>
      </c>
      <c r="I1" s="37" t="s">
        <v>256</v>
      </c>
      <c r="J1" s="37" t="s">
        <v>245</v>
      </c>
      <c r="K1" s="37" t="s">
        <v>280</v>
      </c>
      <c r="L1" s="37" t="s">
        <v>270</v>
      </c>
      <c r="M1" s="37" t="s">
        <v>248</v>
      </c>
      <c r="N1" s="37" t="s">
        <v>249</v>
      </c>
      <c r="O1" s="37" t="s">
        <v>250</v>
      </c>
      <c r="P1" s="37" t="s">
        <v>260</v>
      </c>
      <c r="Q1" s="37" t="s">
        <v>268</v>
      </c>
    </row>
    <row r="2" spans="1:17" x14ac:dyDescent="0.2">
      <c r="A2" t="s">
        <v>246</v>
      </c>
      <c r="B2" s="33" t="s">
        <v>247</v>
      </c>
      <c r="C2" s="35"/>
      <c r="D2" s="30"/>
      <c r="F2" t="s">
        <v>262</v>
      </c>
      <c r="H2" s="34" t="s">
        <v>255</v>
      </c>
      <c r="I2" s="34">
        <v>27</v>
      </c>
      <c r="J2">
        <v>45</v>
      </c>
      <c r="K2" t="s">
        <v>252</v>
      </c>
      <c r="L2" t="s">
        <v>251</v>
      </c>
      <c r="M2" t="s">
        <v>251</v>
      </c>
      <c r="N2" t="s">
        <v>253</v>
      </c>
      <c r="O2" t="s">
        <v>251</v>
      </c>
    </row>
    <row r="3" spans="1:17" x14ac:dyDescent="0.2">
      <c r="A3" t="s">
        <v>257</v>
      </c>
      <c r="B3" s="33" t="s">
        <v>258</v>
      </c>
      <c r="C3" s="35"/>
      <c r="D3" s="30">
        <v>0.47</v>
      </c>
      <c r="E3">
        <v>1000</v>
      </c>
      <c r="F3" t="s">
        <v>262</v>
      </c>
      <c r="H3" s="34" t="s">
        <v>255</v>
      </c>
      <c r="I3">
        <v>27</v>
      </c>
      <c r="J3">
        <v>40</v>
      </c>
      <c r="L3" t="s">
        <v>251</v>
      </c>
      <c r="P3" t="s">
        <v>251</v>
      </c>
      <c r="Q3" t="s">
        <v>228</v>
      </c>
    </row>
    <row r="4" spans="1:17" x14ac:dyDescent="0.2">
      <c r="A4" t="s">
        <v>257</v>
      </c>
      <c r="B4" s="33" t="s">
        <v>259</v>
      </c>
      <c r="C4" s="35"/>
      <c r="D4" s="30">
        <v>0.4</v>
      </c>
      <c r="E4">
        <v>1000</v>
      </c>
      <c r="F4" t="s">
        <v>262</v>
      </c>
      <c r="H4" s="34" t="s">
        <v>255</v>
      </c>
      <c r="I4">
        <v>27</v>
      </c>
      <c r="J4">
        <v>40</v>
      </c>
      <c r="L4" t="s">
        <v>251</v>
      </c>
      <c r="P4" t="s">
        <v>251</v>
      </c>
      <c r="Q4" t="s">
        <v>227</v>
      </c>
    </row>
    <row r="5" spans="1:17" x14ac:dyDescent="0.2">
      <c r="A5" t="s">
        <v>261</v>
      </c>
      <c r="B5" s="33" t="s">
        <v>271</v>
      </c>
      <c r="C5" s="35"/>
      <c r="D5" s="30"/>
      <c r="F5" s="27" t="s">
        <v>251</v>
      </c>
      <c r="G5" s="27" t="s">
        <v>264</v>
      </c>
      <c r="H5" s="34" t="s">
        <v>269</v>
      </c>
      <c r="I5" s="27">
        <v>40</v>
      </c>
      <c r="J5" s="27">
        <v>40</v>
      </c>
      <c r="L5" t="s">
        <v>251</v>
      </c>
      <c r="N5" t="s">
        <v>267</v>
      </c>
      <c r="O5" t="s">
        <v>266</v>
      </c>
      <c r="Q5" t="s">
        <v>227</v>
      </c>
    </row>
    <row r="6" spans="1:17" x14ac:dyDescent="0.2">
      <c r="A6" t="s">
        <v>261</v>
      </c>
      <c r="B6" s="33" t="s">
        <v>272</v>
      </c>
      <c r="C6" s="35"/>
      <c r="D6" s="30">
        <v>0.7</v>
      </c>
      <c r="E6">
        <v>1500</v>
      </c>
      <c r="F6" s="27" t="s">
        <v>251</v>
      </c>
      <c r="G6" s="27" t="s">
        <v>265</v>
      </c>
      <c r="H6" s="34" t="s">
        <v>269</v>
      </c>
      <c r="I6" s="27">
        <v>40</v>
      </c>
      <c r="J6" s="27">
        <v>40</v>
      </c>
      <c r="L6" t="s">
        <v>251</v>
      </c>
      <c r="N6" t="s">
        <v>267</v>
      </c>
      <c r="O6" t="s">
        <v>266</v>
      </c>
      <c r="Q6" t="s">
        <v>227</v>
      </c>
    </row>
    <row r="7" spans="1:17" x14ac:dyDescent="0.2">
      <c r="A7" t="s">
        <v>261</v>
      </c>
      <c r="B7" t="s">
        <v>273</v>
      </c>
      <c r="C7" s="35">
        <v>2.1</v>
      </c>
      <c r="D7" s="30">
        <v>0.46</v>
      </c>
      <c r="E7">
        <v>2500</v>
      </c>
      <c r="F7" t="s">
        <v>262</v>
      </c>
      <c r="H7" s="34" t="s">
        <v>269</v>
      </c>
      <c r="I7">
        <v>40</v>
      </c>
      <c r="Q7" t="s">
        <v>227</v>
      </c>
    </row>
    <row r="8" spans="1:17" x14ac:dyDescent="0.2">
      <c r="A8" t="s">
        <v>261</v>
      </c>
      <c r="B8" t="s">
        <v>274</v>
      </c>
      <c r="C8" s="35">
        <v>2.2000000000000002</v>
      </c>
      <c r="D8" s="30"/>
      <c r="F8" t="s">
        <v>262</v>
      </c>
      <c r="H8" s="34" t="s">
        <v>269</v>
      </c>
      <c r="I8">
        <v>40</v>
      </c>
      <c r="Q8" t="s">
        <v>227</v>
      </c>
    </row>
    <row r="9" spans="1:17" x14ac:dyDescent="0.2">
      <c r="A9" t="s">
        <v>276</v>
      </c>
      <c r="B9" s="33" t="s">
        <v>277</v>
      </c>
      <c r="C9" s="35">
        <v>2</v>
      </c>
      <c r="D9" s="30"/>
    </row>
    <row r="10" spans="1:17" x14ac:dyDescent="0.2">
      <c r="A10" t="s">
        <v>276</v>
      </c>
      <c r="B10" t="s">
        <v>279</v>
      </c>
      <c r="C10" s="35">
        <v>2</v>
      </c>
      <c r="D10" s="30"/>
    </row>
    <row r="11" spans="1:17" x14ac:dyDescent="0.2">
      <c r="A11" t="s">
        <v>276</v>
      </c>
      <c r="B11" s="36" t="s">
        <v>281</v>
      </c>
      <c r="C11" s="35">
        <v>2.1</v>
      </c>
      <c r="D11" s="30">
        <v>1.03</v>
      </c>
      <c r="E11">
        <v>2500</v>
      </c>
      <c r="F11" s="27" t="s">
        <v>251</v>
      </c>
      <c r="G11" s="27" t="s">
        <v>283</v>
      </c>
      <c r="L11" t="s">
        <v>251</v>
      </c>
      <c r="M11" t="s">
        <v>251</v>
      </c>
      <c r="P11" t="s">
        <v>251</v>
      </c>
      <c r="Q11" t="s">
        <v>227</v>
      </c>
    </row>
    <row r="12" spans="1:17" x14ac:dyDescent="0.2">
      <c r="A12" t="s">
        <v>276</v>
      </c>
      <c r="B12" t="s">
        <v>278</v>
      </c>
      <c r="C12" s="35">
        <v>2.1</v>
      </c>
      <c r="D12" s="30">
        <v>1.03</v>
      </c>
      <c r="E12">
        <v>2500</v>
      </c>
      <c r="F12" s="27" t="s">
        <v>251</v>
      </c>
      <c r="G12" s="27" t="s">
        <v>282</v>
      </c>
      <c r="H12" s="34" t="s">
        <v>269</v>
      </c>
      <c r="I12" s="27">
        <v>40</v>
      </c>
      <c r="J12" s="27">
        <v>40</v>
      </c>
      <c r="L12" t="s">
        <v>251</v>
      </c>
      <c r="P12" t="s">
        <v>251</v>
      </c>
    </row>
    <row r="13" spans="1:17" x14ac:dyDescent="0.2">
      <c r="A13" t="s">
        <v>285</v>
      </c>
      <c r="B13" s="33" t="s">
        <v>286</v>
      </c>
      <c r="C13" s="35">
        <v>2.1</v>
      </c>
      <c r="D13" s="30">
        <v>0.95</v>
      </c>
      <c r="E13">
        <v>500</v>
      </c>
      <c r="F13" t="s">
        <v>251</v>
      </c>
      <c r="G13" t="s">
        <v>283</v>
      </c>
      <c r="H13" s="34" t="s">
        <v>255</v>
      </c>
      <c r="I13" s="11">
        <v>30</v>
      </c>
      <c r="K13">
        <v>43</v>
      </c>
    </row>
    <row r="14" spans="1:17" x14ac:dyDescent="0.2">
      <c r="A14" t="s">
        <v>285</v>
      </c>
      <c r="B14" s="33" t="s">
        <v>286</v>
      </c>
      <c r="C14" s="35">
        <v>2.1</v>
      </c>
      <c r="D14" s="30">
        <v>0.95</v>
      </c>
      <c r="E14">
        <v>500</v>
      </c>
      <c r="F14" t="s">
        <v>251</v>
      </c>
      <c r="G14" t="s">
        <v>282</v>
      </c>
      <c r="H14" s="34" t="s">
        <v>255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291</v>
      </c>
      <c r="B20" s="33"/>
      <c r="C20" s="35"/>
      <c r="D20" s="30"/>
      <c r="F20" t="s">
        <v>292</v>
      </c>
      <c r="H20" s="34"/>
    </row>
    <row r="21" spans="1:8" x14ac:dyDescent="0.2">
      <c r="A21" t="s">
        <v>287</v>
      </c>
      <c r="B21" t="s">
        <v>288</v>
      </c>
      <c r="C21" s="35"/>
      <c r="D21" s="30">
        <v>2.81</v>
      </c>
      <c r="E21">
        <v>1000</v>
      </c>
    </row>
    <row r="22" spans="1:8" x14ac:dyDescent="0.2">
      <c r="A22" t="s">
        <v>287</v>
      </c>
      <c r="B22" s="33" t="s">
        <v>289</v>
      </c>
      <c r="D22" s="30">
        <v>3.87</v>
      </c>
      <c r="E22">
        <v>1600</v>
      </c>
    </row>
    <row r="23" spans="1:8" x14ac:dyDescent="0.2">
      <c r="A23" t="s">
        <v>287</v>
      </c>
      <c r="B23" s="33" t="s">
        <v>290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329</v>
      </c>
      <c r="B1" s="14" t="s">
        <v>330</v>
      </c>
      <c r="C1" s="14" t="s">
        <v>251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331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331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331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331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331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331</v>
      </c>
    </row>
    <row r="9" spans="1:4" x14ac:dyDescent="0.2">
      <c r="A9" s="38" t="s">
        <v>332</v>
      </c>
      <c r="B9">
        <f>-13.25/2</f>
        <v>-6.625</v>
      </c>
    </row>
    <row r="10" spans="1:4" x14ac:dyDescent="0.2">
      <c r="A10" s="38" t="s">
        <v>333</v>
      </c>
      <c r="B10">
        <f>-B9</f>
        <v>6.625</v>
      </c>
    </row>
    <row r="11" spans="1:4" x14ac:dyDescent="0.2">
      <c r="A11" s="38" t="s">
        <v>334</v>
      </c>
      <c r="B11">
        <f>-8.95/2</f>
        <v>-4.4749999999999996</v>
      </c>
    </row>
    <row r="12" spans="1:4" x14ac:dyDescent="0.2">
      <c r="A12" s="38" t="s">
        <v>335</v>
      </c>
      <c r="B12">
        <f>-B11</f>
        <v>4.4749999999999996</v>
      </c>
    </row>
    <row r="16" spans="1:4" x14ac:dyDescent="0.2">
      <c r="A16" s="14" t="s">
        <v>329</v>
      </c>
      <c r="B16" s="14" t="s">
        <v>330</v>
      </c>
      <c r="C16" s="14" t="s">
        <v>251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331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331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331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332</v>
      </c>
      <c r="B22">
        <f>-9.5/2</f>
        <v>-4.75</v>
      </c>
      <c r="D22" s="38"/>
    </row>
    <row r="23" spans="1:4" x14ac:dyDescent="0.2">
      <c r="A23" s="38" t="s">
        <v>333</v>
      </c>
      <c r="B23">
        <f>-B22</f>
        <v>4.75</v>
      </c>
    </row>
    <row r="24" spans="1:4" x14ac:dyDescent="0.2">
      <c r="A24" s="38" t="s">
        <v>334</v>
      </c>
      <c r="B24">
        <f>-5.2/2</f>
        <v>-2.6</v>
      </c>
    </row>
    <row r="25" spans="1:4" x14ac:dyDescent="0.2">
      <c r="A25" s="38" t="s">
        <v>335</v>
      </c>
      <c r="B25">
        <f>-B24</f>
        <v>2.6</v>
      </c>
    </row>
    <row r="27" spans="1:4" x14ac:dyDescent="0.2">
      <c r="B27">
        <v>84.86</v>
      </c>
      <c r="C27" s="38" t="s">
        <v>331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331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zoomScale="85" zoomScaleNormal="85" workbookViewId="0">
      <selection activeCell="F24" sqref="F24"/>
    </sheetView>
  </sheetViews>
  <sheetFormatPr defaultRowHeight="12.75" x14ac:dyDescent="0.2"/>
  <cols>
    <col min="1" max="1" width="13.140625" bestFit="1" customWidth="1"/>
    <col min="2" max="2" width="14.5703125" bestFit="1" customWidth="1"/>
    <col min="3" max="3" width="14.5703125" customWidth="1"/>
    <col min="4" max="4" width="16.5703125" bestFit="1" customWidth="1"/>
    <col min="5" max="5" width="11.85546875" bestFit="1" customWidth="1"/>
    <col min="6" max="8" width="12" bestFit="1" customWidth="1"/>
    <col min="9" max="9" width="2.85546875" customWidth="1"/>
    <col min="10" max="12" width="12.28515625" bestFit="1" customWidth="1"/>
    <col min="13" max="13" width="5.42578125" bestFit="1" customWidth="1"/>
  </cols>
  <sheetData>
    <row r="1" spans="1:13" x14ac:dyDescent="0.2">
      <c r="A1" s="39" t="s">
        <v>317</v>
      </c>
      <c r="B1" s="39" t="s">
        <v>336</v>
      </c>
      <c r="C1" s="39" t="s">
        <v>1</v>
      </c>
      <c r="D1" s="39" t="s">
        <v>347</v>
      </c>
      <c r="E1" s="39" t="s">
        <v>3</v>
      </c>
      <c r="F1" s="39" t="s">
        <v>337</v>
      </c>
      <c r="G1" s="39" t="s">
        <v>338</v>
      </c>
      <c r="H1" s="39" t="s">
        <v>339</v>
      </c>
      <c r="I1" s="39"/>
      <c r="J1" s="39" t="s">
        <v>337</v>
      </c>
      <c r="K1" s="39" t="s">
        <v>338</v>
      </c>
      <c r="L1" s="39" t="s">
        <v>339</v>
      </c>
      <c r="M1" s="39" t="s">
        <v>3</v>
      </c>
    </row>
    <row r="2" spans="1:13" x14ac:dyDescent="0.2">
      <c r="A2" t="s">
        <v>340</v>
      </c>
      <c r="B2" t="s">
        <v>341</v>
      </c>
      <c r="C2" t="s">
        <v>342</v>
      </c>
      <c r="D2" s="38" t="s">
        <v>346</v>
      </c>
      <c r="E2" t="s">
        <v>331</v>
      </c>
      <c r="F2">
        <v>0.27</v>
      </c>
      <c r="G2">
        <v>0.255</v>
      </c>
      <c r="H2">
        <v>0.19700000000000001</v>
      </c>
      <c r="J2" s="2">
        <f t="shared" ref="J2:L7" si="0">F2*VLOOKUP($E2,$E$22:$F$24,2)</f>
        <v>1.062992125984252E-2</v>
      </c>
      <c r="K2" s="2">
        <f t="shared" si="0"/>
        <v>1.0039370078740157E-2</v>
      </c>
      <c r="L2" s="2">
        <f t="shared" si="0"/>
        <v>7.7559055118110237E-3</v>
      </c>
      <c r="M2" t="str">
        <f t="shared" ref="M2:M7" si="1">IF(E2=$E$24,$E$23,$E$24)</f>
        <v>inch</v>
      </c>
    </row>
    <row r="3" spans="1:13" x14ac:dyDescent="0.2">
      <c r="A3" s="38" t="s">
        <v>348</v>
      </c>
      <c r="B3" s="38" t="s">
        <v>349</v>
      </c>
      <c r="C3" s="38" t="s">
        <v>350</v>
      </c>
      <c r="D3" s="38" t="s">
        <v>346</v>
      </c>
      <c r="E3" s="38" t="s">
        <v>331</v>
      </c>
      <c r="F3">
        <v>6</v>
      </c>
      <c r="G3">
        <v>4</v>
      </c>
      <c r="H3">
        <v>0.75</v>
      </c>
      <c r="J3" s="2">
        <f t="shared" si="0"/>
        <v>0.23622047244094488</v>
      </c>
      <c r="K3" s="2">
        <f t="shared" si="0"/>
        <v>0.15748031496062992</v>
      </c>
      <c r="L3" s="2">
        <f t="shared" si="0"/>
        <v>2.952755905511811E-2</v>
      </c>
      <c r="M3" t="str">
        <f t="shared" si="1"/>
        <v>inch</v>
      </c>
    </row>
    <row r="4" spans="1:13" x14ac:dyDescent="0.2">
      <c r="A4" s="38" t="s">
        <v>351</v>
      </c>
      <c r="B4" s="38" t="s">
        <v>354</v>
      </c>
      <c r="C4" s="38" t="s">
        <v>352</v>
      </c>
      <c r="D4" s="38" t="s">
        <v>353</v>
      </c>
      <c r="E4" s="38" t="s">
        <v>331</v>
      </c>
      <c r="F4">
        <v>9.6999999999999993</v>
      </c>
      <c r="G4">
        <v>6.58</v>
      </c>
      <c r="H4">
        <v>2.2999999999999998</v>
      </c>
      <c r="J4" s="2">
        <f t="shared" si="0"/>
        <v>0.38188976377952755</v>
      </c>
      <c r="K4" s="2">
        <f t="shared" si="0"/>
        <v>0.25905511811023624</v>
      </c>
      <c r="L4" s="2">
        <f t="shared" si="0"/>
        <v>9.0551181102362197E-2</v>
      </c>
      <c r="M4" t="str">
        <f t="shared" si="1"/>
        <v>inch</v>
      </c>
    </row>
    <row r="5" spans="1:13" x14ac:dyDescent="0.2">
      <c r="A5" s="38" t="s">
        <v>355</v>
      </c>
      <c r="B5" s="38" t="s">
        <v>356</v>
      </c>
      <c r="C5" s="38" t="s">
        <v>357</v>
      </c>
      <c r="D5" s="38" t="s">
        <v>358</v>
      </c>
      <c r="E5" s="38" t="s">
        <v>331</v>
      </c>
      <c r="F5">
        <v>18.211799999999997</v>
      </c>
      <c r="G5">
        <v>5.3339999999999996</v>
      </c>
      <c r="H5">
        <v>9.6519999999999992</v>
      </c>
      <c r="J5" s="2">
        <f t="shared" si="0"/>
        <v>0.71699999999999986</v>
      </c>
      <c r="K5" s="2">
        <f t="shared" si="0"/>
        <v>0.21</v>
      </c>
      <c r="L5" s="2">
        <f t="shared" si="0"/>
        <v>0.37999999999999995</v>
      </c>
      <c r="M5" t="str">
        <f t="shared" si="1"/>
        <v>inch</v>
      </c>
    </row>
    <row r="6" spans="1:13" x14ac:dyDescent="0.2">
      <c r="A6" s="38" t="s">
        <v>355</v>
      </c>
      <c r="B6" s="38" t="s">
        <v>360</v>
      </c>
      <c r="C6" s="38" t="s">
        <v>361</v>
      </c>
      <c r="D6" s="38" t="s">
        <v>362</v>
      </c>
      <c r="E6" s="38" t="s">
        <v>331</v>
      </c>
      <c r="F6">
        <v>18.211799999999997</v>
      </c>
      <c r="G6">
        <v>13.715999999999999</v>
      </c>
      <c r="H6">
        <v>9.6519999999999992</v>
      </c>
      <c r="J6" s="2">
        <f t="shared" si="0"/>
        <v>0.71699999999999986</v>
      </c>
      <c r="K6" s="2">
        <f t="shared" si="0"/>
        <v>0.53999999999999992</v>
      </c>
      <c r="L6" s="2">
        <f t="shared" si="0"/>
        <v>0.37999999999999995</v>
      </c>
      <c r="M6" t="str">
        <f t="shared" si="1"/>
        <v>inch</v>
      </c>
    </row>
    <row r="7" spans="1:13" x14ac:dyDescent="0.2">
      <c r="A7" s="38" t="s">
        <v>355</v>
      </c>
      <c r="B7" s="38" t="s">
        <v>363</v>
      </c>
      <c r="J7" s="2" t="e">
        <f t="shared" si="0"/>
        <v>#N/A</v>
      </c>
      <c r="K7" s="2" t="e">
        <f t="shared" si="0"/>
        <v>#N/A</v>
      </c>
      <c r="L7" s="2" t="e">
        <f t="shared" si="0"/>
        <v>#N/A</v>
      </c>
      <c r="M7" t="str">
        <f t="shared" si="1"/>
        <v>mm</v>
      </c>
    </row>
    <row r="8" spans="1:13" x14ac:dyDescent="0.2">
      <c r="A8" s="38" t="s">
        <v>364</v>
      </c>
      <c r="B8" s="38" t="s">
        <v>365</v>
      </c>
      <c r="C8" s="38" t="s">
        <v>366</v>
      </c>
      <c r="D8" s="38" t="s">
        <v>367</v>
      </c>
      <c r="E8" s="38" t="s">
        <v>331</v>
      </c>
      <c r="F8">
        <v>14</v>
      </c>
      <c r="G8">
        <v>14</v>
      </c>
      <c r="H8">
        <v>7.7</v>
      </c>
      <c r="J8" s="2">
        <f t="shared" ref="J8:J15" si="2">F8*VLOOKUP($E8,$E$22:$F$24,2)</f>
        <v>0.55118110236220474</v>
      </c>
      <c r="K8" s="2">
        <f t="shared" ref="K8:K15" si="3">G8*VLOOKUP($E8,$E$22:$F$24,2)</f>
        <v>0.55118110236220474</v>
      </c>
      <c r="L8" s="2">
        <f t="shared" ref="L8:L15" si="4">H8*VLOOKUP($E8,$E$22:$F$24,2)</f>
        <v>0.30314960629921262</v>
      </c>
      <c r="M8" t="str">
        <f t="shared" ref="M8:M15" si="5">IF(E8=$E$24,$E$23,$E$24)</f>
        <v>inch</v>
      </c>
    </row>
    <row r="9" spans="1:13" x14ac:dyDescent="0.2">
      <c r="A9" s="38" t="s">
        <v>355</v>
      </c>
      <c r="B9" s="38" t="s">
        <v>368</v>
      </c>
      <c r="C9" s="38" t="s">
        <v>369</v>
      </c>
      <c r="D9" s="38" t="s">
        <v>370</v>
      </c>
      <c r="E9" s="38" t="s">
        <v>331</v>
      </c>
      <c r="F9">
        <v>9.5</v>
      </c>
      <c r="G9">
        <v>5</v>
      </c>
      <c r="H9">
        <v>9.8000000000000007</v>
      </c>
      <c r="J9" s="2">
        <f t="shared" si="2"/>
        <v>0.37401574803149606</v>
      </c>
      <c r="K9" s="2">
        <f t="shared" si="3"/>
        <v>0.19685039370078738</v>
      </c>
      <c r="L9" s="2">
        <f t="shared" si="4"/>
        <v>0.38582677165354334</v>
      </c>
      <c r="M9" t="str">
        <f t="shared" si="5"/>
        <v>inch</v>
      </c>
    </row>
    <row r="10" spans="1:13" x14ac:dyDescent="0.2">
      <c r="A10" s="38" t="s">
        <v>355</v>
      </c>
      <c r="B10" s="38" t="s">
        <v>371</v>
      </c>
      <c r="C10" s="38" t="s">
        <v>372</v>
      </c>
      <c r="D10" s="38" t="s">
        <v>373</v>
      </c>
      <c r="E10" s="38" t="s">
        <v>331</v>
      </c>
      <c r="F10">
        <v>13.24</v>
      </c>
      <c r="G10">
        <v>5</v>
      </c>
      <c r="H10">
        <v>9.8000000000000007</v>
      </c>
      <c r="J10" s="2">
        <f t="shared" si="2"/>
        <v>0.52125984251968505</v>
      </c>
      <c r="K10" s="2">
        <f t="shared" si="3"/>
        <v>0.19685039370078738</v>
      </c>
      <c r="L10" s="2">
        <f t="shared" si="4"/>
        <v>0.38582677165354334</v>
      </c>
      <c r="M10" t="str">
        <f t="shared" si="5"/>
        <v>inch</v>
      </c>
    </row>
    <row r="11" spans="1:13" x14ac:dyDescent="0.2">
      <c r="J11" s="2" t="e">
        <f t="shared" si="2"/>
        <v>#N/A</v>
      </c>
      <c r="K11" s="2" t="e">
        <f t="shared" si="3"/>
        <v>#N/A</v>
      </c>
      <c r="L11" s="2" t="e">
        <f t="shared" si="4"/>
        <v>#N/A</v>
      </c>
      <c r="M11" t="str">
        <f t="shared" si="5"/>
        <v>mm</v>
      </c>
    </row>
    <row r="12" spans="1:13" x14ac:dyDescent="0.2">
      <c r="J12" s="2" t="e">
        <f t="shared" si="2"/>
        <v>#N/A</v>
      </c>
      <c r="K12" s="2" t="e">
        <f t="shared" si="3"/>
        <v>#N/A</v>
      </c>
      <c r="L12" s="2" t="e">
        <f t="shared" si="4"/>
        <v>#N/A</v>
      </c>
      <c r="M12" t="str">
        <f t="shared" si="5"/>
        <v>mm</v>
      </c>
    </row>
    <row r="13" spans="1:13" x14ac:dyDescent="0.2">
      <c r="J13" s="2" t="e">
        <f t="shared" si="2"/>
        <v>#N/A</v>
      </c>
      <c r="K13" s="2" t="e">
        <f t="shared" si="3"/>
        <v>#N/A</v>
      </c>
      <c r="L13" s="2" t="e">
        <f t="shared" si="4"/>
        <v>#N/A</v>
      </c>
      <c r="M13" t="str">
        <f t="shared" si="5"/>
        <v>mm</v>
      </c>
    </row>
    <row r="14" spans="1:13" x14ac:dyDescent="0.2">
      <c r="J14" s="2" t="e">
        <f t="shared" si="2"/>
        <v>#N/A</v>
      </c>
      <c r="K14" s="2" t="e">
        <f t="shared" si="3"/>
        <v>#N/A</v>
      </c>
      <c r="L14" s="2" t="e">
        <f t="shared" si="4"/>
        <v>#N/A</v>
      </c>
      <c r="M14" t="str">
        <f t="shared" si="5"/>
        <v>mm</v>
      </c>
    </row>
    <row r="15" spans="1:13" x14ac:dyDescent="0.2">
      <c r="A15" s="38" t="s">
        <v>359</v>
      </c>
      <c r="J15" s="2" t="e">
        <f t="shared" si="2"/>
        <v>#N/A</v>
      </c>
      <c r="K15" s="2" t="e">
        <f t="shared" si="3"/>
        <v>#N/A</v>
      </c>
      <c r="L15" s="2" t="e">
        <f t="shared" si="4"/>
        <v>#N/A</v>
      </c>
      <c r="M15" t="str">
        <f t="shared" si="5"/>
        <v>mm</v>
      </c>
    </row>
    <row r="22" spans="5:6" x14ac:dyDescent="0.2">
      <c r="E22" s="39" t="s">
        <v>343</v>
      </c>
      <c r="F22" s="39" t="s">
        <v>345</v>
      </c>
    </row>
    <row r="23" spans="5:6" x14ac:dyDescent="0.2">
      <c r="E23" s="14" t="s">
        <v>344</v>
      </c>
      <c r="F23">
        <f>1/F24</f>
        <v>25.4</v>
      </c>
    </row>
    <row r="24" spans="5:6" x14ac:dyDescent="0.2">
      <c r="E24" s="14" t="s">
        <v>331</v>
      </c>
      <c r="F24" s="2">
        <f>1/25.4</f>
        <v>3.937007874015748E-2</v>
      </c>
    </row>
  </sheetData>
  <dataValidations count="1">
    <dataValidation type="list" allowBlank="1" showInputMessage="1" showErrorMessage="1" sqref="E2:E15">
      <formula1>$E$23:$E$24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BOM</vt:lpstr>
      <vt:lpstr>Block Cost</vt:lpstr>
      <vt:lpstr>Battery Sense</vt:lpstr>
      <vt:lpstr>LED Backlight</vt:lpstr>
      <vt:lpstr>Mechanical</vt:lpstr>
      <vt:lpstr>Power Supply Loads</vt:lpstr>
      <vt:lpstr>PIC Load Dump</vt:lpstr>
      <vt:lpstr>Analog Power Supply</vt:lpstr>
      <vt:lpstr>Motor</vt:lpstr>
      <vt:lpstr>Components</vt:lpstr>
      <vt:lpstr>Acoustic</vt:lpstr>
      <vt:lpstr>LIN Xcvr</vt:lpstr>
      <vt:lpstr>Ribbon Con</vt:lpstr>
      <vt:lpstr>Physical Pkg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2012-02-26T02:06:37Z</dcterms:modified>
</cp:coreProperties>
</file>