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120" yWindow="180" windowWidth="7440" windowHeight="6000" tabRatio="890" firstSheet="4" activeTab="12"/>
  </bookViews>
  <sheets>
    <sheet name="BOM" sheetId="13" r:id="rId1"/>
    <sheet name="Block Cost" sheetId="10" r:id="rId2"/>
    <sheet name="Battery Sense" sheetId="4" r:id="rId3"/>
    <sheet name="LED Backlight" sheetId="1" r:id="rId4"/>
    <sheet name="Mechanical" sheetId="6" r:id="rId5"/>
    <sheet name="Power Supply Loads" sheetId="7" r:id="rId6"/>
    <sheet name="Analog Power Supply" sheetId="5" r:id="rId7"/>
    <sheet name="Motor" sheetId="9" r:id="rId8"/>
    <sheet name="Components" sheetId="8" r:id="rId9"/>
    <sheet name="Acoustic" sheetId="12" r:id="rId10"/>
    <sheet name="LIN Xcvr" sheetId="11" r:id="rId11"/>
    <sheet name="Ribbon Con" sheetId="14" r:id="rId12"/>
    <sheet name="Physical Pkg" sheetId="15" r:id="rId13"/>
  </sheets>
  <calcPr calcId="145621"/>
</workbook>
</file>

<file path=xl/calcChain.xml><?xml version="1.0" encoding="utf-8"?>
<calcChain xmlns="http://schemas.openxmlformats.org/spreadsheetml/2006/main">
  <c r="M15" i="15" l="1"/>
  <c r="L15" i="15"/>
  <c r="K15" i="15"/>
  <c r="J15" i="15"/>
  <c r="M14" i="15"/>
  <c r="L14" i="15"/>
  <c r="K14" i="15"/>
  <c r="J14" i="15"/>
  <c r="M13" i="15"/>
  <c r="L13" i="15"/>
  <c r="K13" i="15"/>
  <c r="J13" i="15"/>
  <c r="M12" i="15"/>
  <c r="L12" i="15"/>
  <c r="K12" i="15"/>
  <c r="J12" i="15"/>
  <c r="M11" i="15"/>
  <c r="L11" i="15"/>
  <c r="K11" i="15"/>
  <c r="J11" i="15"/>
  <c r="M10" i="15"/>
  <c r="L10" i="15"/>
  <c r="K10" i="15"/>
  <c r="J10" i="15"/>
  <c r="M9" i="15"/>
  <c r="L9" i="15"/>
  <c r="K9" i="15"/>
  <c r="J9" i="15"/>
  <c r="M8" i="15"/>
  <c r="L8" i="15"/>
  <c r="K8" i="15"/>
  <c r="J8" i="15"/>
  <c r="J4" i="15"/>
  <c r="K4" i="15"/>
  <c r="L4" i="15"/>
  <c r="J5" i="15"/>
  <c r="K5" i="15"/>
  <c r="L5" i="15"/>
  <c r="J6" i="15"/>
  <c r="K6" i="15"/>
  <c r="L6" i="15"/>
  <c r="K2" i="15"/>
  <c r="J2" i="15"/>
  <c r="M3" i="15"/>
  <c r="M4" i="15"/>
  <c r="M5" i="15"/>
  <c r="M6" i="15"/>
  <c r="M7" i="15"/>
  <c r="M2" i="15"/>
  <c r="F24" i="15"/>
  <c r="J7" i="15"/>
  <c r="B30" i="14"/>
  <c r="B28" i="14"/>
  <c r="B24" i="14"/>
  <c r="B22" i="14"/>
  <c r="B25" i="14"/>
  <c r="B23" i="14"/>
  <c r="B12" i="14"/>
  <c r="B11" i="14"/>
  <c r="B10" i="14"/>
  <c r="B9" i="14"/>
  <c r="B19" i="14"/>
  <c r="B18" i="14"/>
  <c r="B2" i="14"/>
  <c r="B4" i="14"/>
  <c r="B6" i="14"/>
  <c r="B7" i="14"/>
  <c r="B3" i="14"/>
  <c r="C19" i="14"/>
  <c r="C18" i="14"/>
  <c r="C5" i="14"/>
  <c r="C7" i="14"/>
  <c r="C6" i="14"/>
  <c r="C4" i="14"/>
  <c r="C3" i="14"/>
  <c r="B15" i="10"/>
  <c r="B6" i="7"/>
  <c r="B11" i="7"/>
  <c r="B4" i="9"/>
  <c r="B8" i="9"/>
  <c r="B15" i="9"/>
  <c r="B16" i="9"/>
  <c r="B11" i="9"/>
  <c r="B12" i="9"/>
  <c r="B7" i="9"/>
  <c r="B17" i="7"/>
  <c r="B15" i="6"/>
  <c r="B14" i="6"/>
  <c r="B12" i="6"/>
  <c r="B10" i="6"/>
  <c r="B8" i="6"/>
  <c r="B6" i="6"/>
  <c r="B5" i="6"/>
  <c r="B11" i="6"/>
  <c r="B4" i="6"/>
  <c r="B21" i="5"/>
  <c r="B22" i="5"/>
  <c r="B20" i="5"/>
  <c r="D29" i="5"/>
  <c r="B29" i="5"/>
  <c r="C29" i="5"/>
  <c r="D30" i="5"/>
  <c r="B30" i="5"/>
  <c r="C30" i="5"/>
  <c r="D31" i="5"/>
  <c r="B31" i="5"/>
  <c r="C31" i="5"/>
  <c r="D32" i="5"/>
  <c r="B32" i="5"/>
  <c r="C32" i="5"/>
  <c r="D33" i="5"/>
  <c r="B33" i="5"/>
  <c r="C33" i="5"/>
  <c r="D34" i="5"/>
  <c r="B34" i="5"/>
  <c r="C34" i="5"/>
  <c r="D35" i="5"/>
  <c r="B35" i="5"/>
  <c r="C35" i="5"/>
  <c r="D36" i="5"/>
  <c r="B36" i="5"/>
  <c r="C36" i="5"/>
  <c r="D37" i="5"/>
  <c r="B37" i="5"/>
  <c r="C37" i="5"/>
  <c r="D38" i="5"/>
  <c r="B38" i="5"/>
  <c r="C38" i="5"/>
  <c r="D39" i="5"/>
  <c r="B39" i="5"/>
  <c r="C39" i="5"/>
  <c r="D40" i="5"/>
  <c r="B40" i="5"/>
  <c r="C40" i="5"/>
  <c r="D41" i="5"/>
  <c r="B41" i="5"/>
  <c r="C41" i="5"/>
  <c r="D42" i="5"/>
  <c r="B42" i="5"/>
  <c r="C42" i="5"/>
  <c r="D43" i="5"/>
  <c r="B43" i="5"/>
  <c r="C43" i="5"/>
  <c r="D44" i="5"/>
  <c r="B44" i="5"/>
  <c r="C44" i="5"/>
  <c r="D45" i="5"/>
  <c r="B45" i="5"/>
  <c r="C45" i="5"/>
  <c r="D46" i="5"/>
  <c r="B46" i="5"/>
  <c r="C46" i="5"/>
  <c r="D47" i="5"/>
  <c r="B47" i="5"/>
  <c r="C47" i="5"/>
  <c r="D48" i="5"/>
  <c r="B48" i="5"/>
  <c r="C48" i="5"/>
  <c r="D49" i="5"/>
  <c r="B49" i="5"/>
  <c r="C49" i="5"/>
  <c r="D50" i="5"/>
  <c r="B50" i="5"/>
  <c r="C50" i="5"/>
  <c r="D51" i="5"/>
  <c r="B51" i="5"/>
  <c r="C51" i="5"/>
  <c r="D52" i="5"/>
  <c r="B52" i="5"/>
  <c r="C52" i="5"/>
  <c r="D53" i="5"/>
  <c r="B53" i="5"/>
  <c r="C53" i="5"/>
  <c r="D54" i="5"/>
  <c r="B54" i="5"/>
  <c r="C54" i="5"/>
  <c r="D55" i="5"/>
  <c r="B55" i="5"/>
  <c r="C55" i="5"/>
  <c r="D56" i="5"/>
  <c r="B56" i="5"/>
  <c r="C56" i="5"/>
  <c r="D57" i="5"/>
  <c r="B57" i="5"/>
  <c r="C57" i="5"/>
  <c r="D58" i="5"/>
  <c r="B58" i="5"/>
  <c r="C58" i="5"/>
  <c r="D59" i="5"/>
  <c r="B59" i="5"/>
  <c r="C59" i="5"/>
  <c r="D60" i="5"/>
  <c r="B60" i="5"/>
  <c r="C60" i="5"/>
  <c r="D61" i="5"/>
  <c r="B61" i="5"/>
  <c r="C61" i="5"/>
  <c r="D62" i="5"/>
  <c r="B62" i="5"/>
  <c r="C62" i="5"/>
  <c r="D63" i="5"/>
  <c r="B63" i="5"/>
  <c r="C63" i="5"/>
  <c r="D28" i="5"/>
  <c r="B28" i="5"/>
  <c r="C28" i="5"/>
  <c r="B13" i="5"/>
  <c r="B25" i="5"/>
  <c r="B24" i="5"/>
  <c r="B11" i="4"/>
  <c r="B13" i="4"/>
  <c r="B16" i="4"/>
  <c r="B12" i="4"/>
  <c r="B15" i="4"/>
  <c r="B11" i="1"/>
  <c r="B10" i="1"/>
  <c r="L2" i="15"/>
  <c r="L7" i="15"/>
  <c r="K7" i="15"/>
  <c r="F23" i="15"/>
  <c r="B5" i="14"/>
  <c r="B7" i="6"/>
  <c r="B9" i="6"/>
  <c r="J3" i="15"/>
  <c r="K3" i="15"/>
  <c r="L3" i="15"/>
</calcChain>
</file>

<file path=xl/sharedStrings.xml><?xml version="1.0" encoding="utf-8"?>
<sst xmlns="http://schemas.openxmlformats.org/spreadsheetml/2006/main" count="585" uniqueCount="374">
  <si>
    <t>LED Voltage Drop</t>
  </si>
  <si>
    <t>Description</t>
  </si>
  <si>
    <t>Value</t>
  </si>
  <si>
    <t>Units</t>
  </si>
  <si>
    <t>v</t>
  </si>
  <si>
    <t>LED Max Current</t>
  </si>
  <si>
    <t>A</t>
  </si>
  <si>
    <t># LEDs in Series</t>
  </si>
  <si>
    <t>pc</t>
  </si>
  <si>
    <t>Voltage - Minimum</t>
  </si>
  <si>
    <t>Voltage - Maximum</t>
  </si>
  <si>
    <t>Resistance - Series</t>
  </si>
  <si>
    <t>ohm</t>
  </si>
  <si>
    <t>Current at Vmin</t>
  </si>
  <si>
    <t>Current at Vmax</t>
  </si>
  <si>
    <t>Rtop</t>
  </si>
  <si>
    <t>Rbottom</t>
  </si>
  <si>
    <t>Varef</t>
  </si>
  <si>
    <t>V a/d at Min</t>
  </si>
  <si>
    <t>V a/d at Max</t>
  </si>
  <si>
    <t># A/D bits</t>
  </si>
  <si>
    <t>bits</t>
  </si>
  <si>
    <t>A/D counts at min</t>
  </si>
  <si>
    <t>A/D counts at max</t>
  </si>
  <si>
    <t>counts</t>
  </si>
  <si>
    <t>Volts / bit</t>
  </si>
  <si>
    <t>TDA3674 5v Regulator</t>
  </si>
  <si>
    <t>Enable Input (V min)</t>
  </si>
  <si>
    <t>Enable Input (I typ @ 5v)</t>
  </si>
  <si>
    <t>Enable Input equiv impedance</t>
  </si>
  <si>
    <t>ohms</t>
  </si>
  <si>
    <t>Enable Input Series R</t>
  </si>
  <si>
    <t>Enable Input Series D</t>
  </si>
  <si>
    <t>Wake-In Max Voltage</t>
  </si>
  <si>
    <t>Wake-In Max Current</t>
  </si>
  <si>
    <t>mA</t>
  </si>
  <si>
    <t>Enable Input Load R</t>
  </si>
  <si>
    <t>Wake-In Voltage</t>
  </si>
  <si>
    <t>V-Divider</t>
  </si>
  <si>
    <t>Enable Input Zener Clamp</t>
  </si>
  <si>
    <t>Current (mA)</t>
  </si>
  <si>
    <t>Enable In (v)</t>
  </si>
  <si>
    <t>5.6v zener at low current is 4.8v</t>
  </si>
  <si>
    <t>w</t>
  </si>
  <si>
    <t>V Battery min</t>
  </si>
  <si>
    <t>V Battery max</t>
  </si>
  <si>
    <t>V Battery nominal</t>
  </si>
  <si>
    <t>I Load nominal</t>
  </si>
  <si>
    <t>I Load max</t>
  </si>
  <si>
    <t>regulated output voltage</t>
  </si>
  <si>
    <t>Notes</t>
  </si>
  <si>
    <t>mW</t>
  </si>
  <si>
    <t>I Load min</t>
  </si>
  <si>
    <t>Origin for PCB</t>
  </si>
  <si>
    <t>Lower left corner</t>
  </si>
  <si>
    <t>PCB width</t>
  </si>
  <si>
    <t>PCB height</t>
  </si>
  <si>
    <t>in</t>
  </si>
  <si>
    <t>Hole 1 y</t>
  </si>
  <si>
    <t>Hole 1 x (bottom left)</t>
  </si>
  <si>
    <t>image does not look symmetrical</t>
  </si>
  <si>
    <t>Hole 2 x (top-left)</t>
  </si>
  <si>
    <t>Hole 2 y</t>
  </si>
  <si>
    <t>Hole 3 x (top-right)</t>
  </si>
  <si>
    <t>Hole 3 y</t>
  </si>
  <si>
    <t>Hole 4 x (bottom-right)</t>
  </si>
  <si>
    <t>Hole 4 y</t>
  </si>
  <si>
    <t>notch 1 x (center)</t>
  </si>
  <si>
    <t>notch 1 y</t>
  </si>
  <si>
    <t>notch 2 x</t>
  </si>
  <si>
    <t>notch 2 y</t>
  </si>
  <si>
    <t>from 5 Jan 2012 email</t>
  </si>
  <si>
    <t>XC2224</t>
  </si>
  <si>
    <t>MHz</t>
  </si>
  <si>
    <t>Operating frequency</t>
  </si>
  <si>
    <t>XC2224 Supply current (STOP)</t>
  </si>
  <si>
    <t>XC2224 Supply current (active)</t>
  </si>
  <si>
    <t>LED Backlight Driver</t>
  </si>
  <si>
    <t>assumes simple NPN driver</t>
  </si>
  <si>
    <t>CAN Transceiver</t>
  </si>
  <si>
    <t>dominant state only</t>
  </si>
  <si>
    <t>LIN Transceiver</t>
  </si>
  <si>
    <t>Battery Drain (low power mode)</t>
  </si>
  <si>
    <t>Battery Voltage Sense</t>
  </si>
  <si>
    <t>Battery Voltage</t>
  </si>
  <si>
    <t>Nominal with power off</t>
  </si>
  <si>
    <t>100K + 18K voltage divider</t>
  </si>
  <si>
    <t>LIN Bus (inactive state)</t>
  </si>
  <si>
    <t>Wake Out Driver</t>
  </si>
  <si>
    <t>H-Bridge Driver</t>
  </si>
  <si>
    <t>sleep mode</t>
  </si>
  <si>
    <t>Power Supply (sleep)</t>
  </si>
  <si>
    <t>only functions tied to battery</t>
  </si>
  <si>
    <t>Category</t>
  </si>
  <si>
    <t>H-Bridge</t>
  </si>
  <si>
    <t>Additional Notes</t>
  </si>
  <si>
    <t>Power Supply</t>
  </si>
  <si>
    <t>Window Lift Module</t>
  </si>
  <si>
    <t>Capacitive Touch Sense</t>
  </si>
  <si>
    <t>Can share matrix with backlight LEDs</t>
  </si>
  <si>
    <t>TLE7181EM</t>
  </si>
  <si>
    <t>H-Bridge Driver: 34v, 10 uA quiescient, lots of features (may cost too much)</t>
  </si>
  <si>
    <t>8A peak (25C), 5uA quiesc, 40V</t>
  </si>
  <si>
    <t>4A 40V status</t>
  </si>
  <si>
    <t>3 half-bridge .8A 32v</t>
  </si>
  <si>
    <t>Full Door module - Mirror w/heat/light</t>
  </si>
  <si>
    <t>TLE6365G</t>
  </si>
  <si>
    <t>step down w/reset 8 to 40v</t>
  </si>
  <si>
    <t>TLE6711G</t>
  </si>
  <si>
    <t>TLE7368E</t>
  </si>
  <si>
    <t>5.5v, reset, watchdog</t>
  </si>
  <si>
    <t>TLE6266G</t>
  </si>
  <si>
    <t>CAN, Watchdog</t>
  </si>
  <si>
    <t>ScratchNotes</t>
  </si>
  <si>
    <t>BTN7960/70/71</t>
  </si>
  <si>
    <t>TLE6208-3</t>
  </si>
  <si>
    <t>TLE8201R</t>
  </si>
  <si>
    <t>TLE8203E</t>
  </si>
  <si>
    <t>TLE84106EL</t>
  </si>
  <si>
    <t>BTS50015</t>
  </si>
  <si>
    <t>BTM7740G</t>
  </si>
  <si>
    <t>TLE5205</t>
  </si>
  <si>
    <t>TLE5206</t>
  </si>
  <si>
    <t>TLE8261E</t>
  </si>
  <si>
    <t>TLE4278G</t>
  </si>
  <si>
    <t>Reset, watchdog</t>
  </si>
  <si>
    <t>half-Bridge 40V 40A</t>
  </si>
  <si>
    <t>requires 2 part</t>
  </si>
  <si>
    <t>0.8A not enough</t>
  </si>
  <si>
    <t>Motor Current @Min V</t>
  </si>
  <si>
    <t>Min Voltage</t>
  </si>
  <si>
    <t>V</t>
  </si>
  <si>
    <t>Voltage 1</t>
  </si>
  <si>
    <t>Motor Current @V1</t>
  </si>
  <si>
    <t>Voltage 2</t>
  </si>
  <si>
    <t>Motor Current @V2</t>
  </si>
  <si>
    <t>Power 1</t>
  </si>
  <si>
    <t>Power 2</t>
  </si>
  <si>
    <t>Power 3</t>
  </si>
  <si>
    <t>W</t>
  </si>
  <si>
    <t>Power Min</t>
  </si>
  <si>
    <t>Assumes the motor is rated to operate at this minimum voltage</t>
  </si>
  <si>
    <t>And current</t>
  </si>
  <si>
    <t>too many functions - cost</t>
  </si>
  <si>
    <t>not enough current</t>
  </si>
  <si>
    <t>Hex half-bridge</t>
  </si>
  <si>
    <t>18v, 0.8A</t>
  </si>
  <si>
    <t>If we need a pre-enable</t>
  </si>
  <si>
    <t>Single high-side 28V 33A, 18uA standby</t>
  </si>
  <si>
    <t>Pre-Driver for mosfets</t>
  </si>
  <si>
    <t>Full Window Control on LIN w/8051</t>
  </si>
  <si>
    <t>TLE7810</t>
  </si>
  <si>
    <t>no enable</t>
  </si>
  <si>
    <t>System Basis Chip, reg, CAN transceiver, watchdog</t>
  </si>
  <si>
    <t>3xLIN</t>
  </si>
  <si>
    <t>System Basis Chip</t>
  </si>
  <si>
    <t>TLE8262E</t>
  </si>
  <si>
    <t>1xLIN</t>
  </si>
  <si>
    <t>TLE8263E</t>
  </si>
  <si>
    <t>2xLIN</t>
  </si>
  <si>
    <t>very interesting combination of parts, but for a system that does not need them all, this is overkill and no alternate sourcing.</t>
  </si>
  <si>
    <t>TLE8264E</t>
  </si>
  <si>
    <t>boost/buck, watchdog, enable</t>
  </si>
  <si>
    <t>watchdog compatibility</t>
  </si>
  <si>
    <t>total</t>
  </si>
  <si>
    <t>Primary power drawn from battery voltage</t>
  </si>
  <si>
    <t>From PS Loads sheet</t>
  </si>
  <si>
    <t>Other misc circuilts</t>
  </si>
  <si>
    <t>all peripherals active (at specified clock rate)</t>
  </si>
  <si>
    <t>Power dissipation min</t>
  </si>
  <si>
    <t>Power dissipation nominal</t>
  </si>
  <si>
    <t>Power dissipation max</t>
  </si>
  <si>
    <t>Linear regulator dissipation</t>
  </si>
  <si>
    <t>Candidate Parts</t>
  </si>
  <si>
    <t>Rejected</t>
  </si>
  <si>
    <t>Defer rejection</t>
  </si>
  <si>
    <t>further analysis may be required</t>
  </si>
  <si>
    <t>overkill - for high end multi-voltage</t>
  </si>
  <si>
    <t>linear part, but with possibly adequate heat-sink</t>
  </si>
  <si>
    <t>on special request only</t>
  </si>
  <si>
    <t>LTC3115-1</t>
  </si>
  <si>
    <t>Not yet analyzed</t>
  </si>
  <si>
    <t>Key</t>
  </si>
  <si>
    <t>part identified from initial scan/research</t>
  </si>
  <si>
    <t>seems to mee the requirements</t>
  </si>
  <si>
    <t>not appropriate for this project (reason noted)</t>
  </si>
  <si>
    <t>LT3433</t>
  </si>
  <si>
    <t>buck-boost, 4-60v, 5v .3A, enable</t>
  </si>
  <si>
    <t>LT3689</t>
  </si>
  <si>
    <t>step-down, por, wdt</t>
  </si>
  <si>
    <t>LT3682</t>
  </si>
  <si>
    <t>uPower step down,</t>
  </si>
  <si>
    <t>LT3631</t>
  </si>
  <si>
    <t>4.5 to 45 to 5v@100mA</t>
  </si>
  <si>
    <t>LT3470A</t>
  </si>
  <si>
    <t>buck reg 12v to 5v@250mA</t>
  </si>
  <si>
    <t>LTM8021</t>
  </si>
  <si>
    <t>7.5-36v to 5v@500mA</t>
  </si>
  <si>
    <t>LT3502</t>
  </si>
  <si>
    <t>7-40v to 5v@500mA</t>
  </si>
  <si>
    <t>buck-boost, 2.7-40v, 5v1A out, enable, burst mode</t>
  </si>
  <si>
    <t>wdt compatibility?</t>
  </si>
  <si>
    <t>looks even better</t>
  </si>
  <si>
    <t>nice, but 100mA max</t>
  </si>
  <si>
    <t>8-pin</t>
  </si>
  <si>
    <t>LT3970</t>
  </si>
  <si>
    <t>7-40 to 5v@350mA, enable, power good out</t>
  </si>
  <si>
    <t>10-pin</t>
  </si>
  <si>
    <t>6-pin</t>
  </si>
  <si>
    <t>6.5-34v to 5v@250mA, enable</t>
  </si>
  <si>
    <t>full uModule w most parts (LGA pkg)</t>
  </si>
  <si>
    <t>LT1934ES6</t>
  </si>
  <si>
    <t>Functional Block</t>
  </si>
  <si>
    <t>Qty</t>
  </si>
  <si>
    <t>Est. Cost</t>
  </si>
  <si>
    <t>Acoustic Signal</t>
  </si>
  <si>
    <t>Keypad Sense</t>
  </si>
  <si>
    <t>LED Driver</t>
  </si>
  <si>
    <t>H-Driver</t>
  </si>
  <si>
    <t>Wakeup Out</t>
  </si>
  <si>
    <t>Wakeup In</t>
  </si>
  <si>
    <t>Learn Mode</t>
  </si>
  <si>
    <t>Micro</t>
  </si>
  <si>
    <t>Miscellaneous</t>
  </si>
  <si>
    <t>Estimated Total</t>
  </si>
  <si>
    <t>LIN</t>
  </si>
  <si>
    <t>CAN</t>
  </si>
  <si>
    <t>Yes</t>
  </si>
  <si>
    <t>No</t>
  </si>
  <si>
    <t>smaller micro, no JD/OS</t>
  </si>
  <si>
    <t>JD/OS, "fully integrated"</t>
  </si>
  <si>
    <t>powerful micro, ~25-50,000 lines of code</t>
  </si>
  <si>
    <t>Config Storage</t>
  </si>
  <si>
    <t>Estimated costs includes the primary and supporting components</t>
  </si>
  <si>
    <t>micro, crystal, caps</t>
  </si>
  <si>
    <t>eerom</t>
  </si>
  <si>
    <t>switching</t>
  </si>
  <si>
    <t>2xR, 1xC</t>
  </si>
  <si>
    <t>xcvr, filter, diodes</t>
  </si>
  <si>
    <t>need to find -40 to +85 part</t>
  </si>
  <si>
    <t>whatever was forgotton above</t>
  </si>
  <si>
    <t>JD Exclusive</t>
  </si>
  <si>
    <t>Vendor</t>
  </si>
  <si>
    <t>Part #</t>
  </si>
  <si>
    <t>Price</t>
  </si>
  <si>
    <t>Bus Voltage</t>
  </si>
  <si>
    <t>ON Semi</t>
  </si>
  <si>
    <t>NCV7321</t>
  </si>
  <si>
    <t>Normal</t>
  </si>
  <si>
    <t>Sleep</t>
  </si>
  <si>
    <t>Standby</t>
  </si>
  <si>
    <t>Y</t>
  </si>
  <si>
    <t>45v</t>
  </si>
  <si>
    <t>20 uA</t>
  </si>
  <si>
    <t>Temp</t>
  </si>
  <si>
    <t>-40, +125</t>
  </si>
  <si>
    <t>V Supply</t>
  </si>
  <si>
    <t>TI</t>
  </si>
  <si>
    <t>SN65HVDA195-Q1</t>
  </si>
  <si>
    <t>TPIC1021A-Q1 -</t>
  </si>
  <si>
    <t>Wakup Pin</t>
  </si>
  <si>
    <t>NXP</t>
  </si>
  <si>
    <t>N</t>
  </si>
  <si>
    <t>Vreg</t>
  </si>
  <si>
    <t>3.3v @ 70mA</t>
  </si>
  <si>
    <t>5.0v @ 70mA</t>
  </si>
  <si>
    <t>45uA</t>
  </si>
  <si>
    <t>12uA</t>
  </si>
  <si>
    <t>Tx timeout</t>
  </si>
  <si>
    <t>-40, +150</t>
  </si>
  <si>
    <t>3v IO</t>
  </si>
  <si>
    <t>TJA1028TK/3V3</t>
  </si>
  <si>
    <t>TJA1028TK/5V0</t>
  </si>
  <si>
    <t>TJA1021</t>
  </si>
  <si>
    <t>TJA1022</t>
  </si>
  <si>
    <t>LIN V</t>
  </si>
  <si>
    <t>Infineon</t>
  </si>
  <si>
    <t>TLE6258</t>
  </si>
  <si>
    <t>TLE8458G</t>
  </si>
  <si>
    <t>TLE7259-2GE</t>
  </si>
  <si>
    <t>Load Dump</t>
  </si>
  <si>
    <t>TLE8458GV33</t>
  </si>
  <si>
    <t>5.0 @ 50mA</t>
  </si>
  <si>
    <t>3.3 @ 50mA</t>
  </si>
  <si>
    <t>V Reg</t>
  </si>
  <si>
    <t>Micrchip</t>
  </si>
  <si>
    <t>MCP2021</t>
  </si>
  <si>
    <t>Atmel</t>
  </si>
  <si>
    <t>ATA66xx</t>
  </si>
  <si>
    <t>ATmega16M1</t>
  </si>
  <si>
    <t>ATtiny167</t>
  </si>
  <si>
    <t>Microcontroller</t>
  </si>
  <si>
    <t>Qtouch</t>
  </si>
  <si>
    <t>4khz - http://www.soundsnap.com/search/audio/4khz/popular</t>
  </si>
  <si>
    <t>2khz - http://www.soundsnap.com/search/audio/2khz/popular</t>
  </si>
  <si>
    <t>CUI Inc (smd)</t>
  </si>
  <si>
    <t>4 khz</t>
  </si>
  <si>
    <t>$4.81 qty 1</t>
  </si>
  <si>
    <t>$2.49 qty 500</t>
  </si>
  <si>
    <t>http://search.digikey.com/us/en/products/CMI-1240/102-1196-5-ND/504829</t>
  </si>
  <si>
    <t>CUI Inc (thru hole)</t>
  </si>
  <si>
    <t>$3.19 qty 1</t>
  </si>
  <si>
    <t>$1.65 qty 500</t>
  </si>
  <si>
    <t>http://search.digikey.com/us/en/products/CEP-2242/102-1115-ND/412374</t>
  </si>
  <si>
    <t>PUI Audio (thru hole)</t>
  </si>
  <si>
    <t>$3.66 qty 1</t>
  </si>
  <si>
    <t>$2.20 qty 500</t>
  </si>
  <si>
    <t>http://search.digikey.com/us/en/products/AI-1440-TWT-12V-R/668-1024-ND/1464763</t>
  </si>
  <si>
    <t>Mallory (thru hole)</t>
  </si>
  <si>
    <t>4.1 khz</t>
  </si>
  <si>
    <t>$2.43 qty 1</t>
  </si>
  <si>
    <t>$2.09 qty 500</t>
  </si>
  <si>
    <t>http://search.digikey.com/us/en/products/PK-12N40PQ/458-1066-ND/969793</t>
  </si>
  <si>
    <t>Kobiton (thru hole)</t>
  </si>
  <si>
    <t>$4.26 qty 1</t>
  </si>
  <si>
    <t>$2.59 qty 500</t>
  </si>
  <si>
    <t>http://www.mouser.com/ProductDetail/Kobitone/254-15210-ROX/?qs=05UEgX2TgG1gFl%2faATOCEw%3d%3d</t>
  </si>
  <si>
    <t>Manufacturer</t>
  </si>
  <si>
    <t>Freq</t>
  </si>
  <si>
    <t>Temp Range</t>
  </si>
  <si>
    <t>$ ea</t>
  </si>
  <si>
    <t>$ @500</t>
  </si>
  <si>
    <t>Web</t>
  </si>
  <si>
    <t>'-30 + 70</t>
  </si>
  <si>
    <t>'-20 +70</t>
  </si>
  <si>
    <t>'-20 + 90</t>
  </si>
  <si>
    <t>'-20 + 105</t>
  </si>
  <si>
    <t>Component</t>
  </si>
  <si>
    <t>PIC18F25K22-E/SO-ND</t>
  </si>
  <si>
    <t>Pin</t>
  </si>
  <si>
    <t>X</t>
  </si>
  <si>
    <t>mm</t>
  </si>
  <si>
    <t>Housing Left</t>
  </si>
  <si>
    <t>Housing Right</t>
  </si>
  <si>
    <t>Slot Left</t>
  </si>
  <si>
    <t>Slot Right</t>
  </si>
  <si>
    <t>Part Number</t>
  </si>
  <si>
    <t>Length</t>
  </si>
  <si>
    <t>Width</t>
  </si>
  <si>
    <t>Height</t>
  </si>
  <si>
    <t>Vishay</t>
  </si>
  <si>
    <t>IHLP-2525EZ-01</t>
  </si>
  <si>
    <t>SMD Inductor</t>
  </si>
  <si>
    <t>Unit Lookup</t>
  </si>
  <si>
    <t>inch</t>
  </si>
  <si>
    <t>To alternate</t>
  </si>
  <si>
    <t>Switching P.S.</t>
  </si>
  <si>
    <t>Candidate Usage</t>
  </si>
  <si>
    <t>Linear</t>
  </si>
  <si>
    <t>LT3690</t>
  </si>
  <si>
    <t>Switching PS</t>
  </si>
  <si>
    <t>National</t>
  </si>
  <si>
    <t>LDO Regulator</t>
  </si>
  <si>
    <t>uP P.S.</t>
  </si>
  <si>
    <t>LM2936 (TO-252)</t>
  </si>
  <si>
    <t>Molex</t>
  </si>
  <si>
    <t>5569-02A2</t>
  </si>
  <si>
    <t>2-Pin Connector</t>
  </si>
  <si>
    <t>Motor interface</t>
  </si>
  <si>
    <t>last</t>
  </si>
  <si>
    <t>5569-06A2</t>
  </si>
  <si>
    <t>6-Pin Connector</t>
  </si>
  <si>
    <t>Vehicle Interface</t>
  </si>
  <si>
    <t>5557-</t>
  </si>
  <si>
    <t>Mallory</t>
  </si>
  <si>
    <t>PK-12N40PQ</t>
  </si>
  <si>
    <t>Piezo</t>
  </si>
  <si>
    <t>Acoustic</t>
  </si>
  <si>
    <t>39-53-2035</t>
  </si>
  <si>
    <t>3-pin ribbon</t>
  </si>
  <si>
    <t>backlight</t>
  </si>
  <si>
    <t>39-53-2064</t>
  </si>
  <si>
    <t>6-pin ribbon</t>
  </si>
  <si>
    <t>keypad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</si>
</sst>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00"/>
    <numFmt numFmtId="165" formatCode="_(* #,##0.0_);_(* \(#,##0.0\);_(* &quot;-&quot;??_);_(@_)"/>
    <numFmt numFmtId="166" formatCode="_(* #,##0_);_(* \(#,##0\);_(* &quot;-&quot;??_);_(@_)"/>
  </numFmts>
  <fonts count="23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</fonts>
  <fills count="3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33CC33"/>
        <bgColor indexed="64"/>
      </patternFill>
    </fill>
  </fills>
  <borders count="1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5">
    <xf numFmtId="0" fontId="0" fillId="0" borderId="0"/>
    <xf numFmtId="0" fontId="6" fillId="2" borderId="0" applyNumberFormat="0" applyBorder="0" applyAlignment="0" applyProtection="0"/>
    <xf numFmtId="0" fontId="6" fillId="3" borderId="0" applyNumberFormat="0" applyBorder="0" applyAlignment="0" applyProtection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5" borderId="0" applyNumberFormat="0" applyBorder="0" applyAlignment="0" applyProtection="0"/>
    <xf numFmtId="0" fontId="6" fillId="8" borderId="0" applyNumberFormat="0" applyBorder="0" applyAlignment="0" applyProtection="0"/>
    <xf numFmtId="0" fontId="6" fillId="11" borderId="0" applyNumberFormat="0" applyBorder="0" applyAlignment="0" applyProtection="0"/>
    <xf numFmtId="0" fontId="7" fillId="12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6" borderId="0" applyNumberFormat="0" applyBorder="0" applyAlignment="0" applyProtection="0"/>
    <xf numFmtId="0" fontId="7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9" borderId="0" applyNumberFormat="0" applyBorder="0" applyAlignment="0" applyProtection="0"/>
    <xf numFmtId="0" fontId="8" fillId="3" borderId="0" applyNumberFormat="0" applyBorder="0" applyAlignment="0" applyProtection="0"/>
    <xf numFmtId="0" fontId="9" fillId="20" borderId="1" applyNumberFormat="0" applyAlignment="0" applyProtection="0"/>
    <xf numFmtId="0" fontId="10" fillId="21" borderId="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1" fillId="0" borderId="0" applyNumberFormat="0" applyFill="0" applyBorder="0" applyAlignment="0" applyProtection="0"/>
    <xf numFmtId="0" fontId="12" fillId="4" borderId="0" applyNumberFormat="0" applyBorder="0" applyAlignment="0" applyProtection="0"/>
    <xf numFmtId="0" fontId="13" fillId="0" borderId="3" applyNumberFormat="0" applyFill="0" applyAlignment="0" applyProtection="0"/>
    <xf numFmtId="0" fontId="14" fillId="0" borderId="4" applyNumberFormat="0" applyFill="0" applyAlignment="0" applyProtection="0"/>
    <xf numFmtId="0" fontId="15" fillId="0" borderId="5" applyNumberFormat="0" applyFill="0" applyAlignment="0" applyProtection="0"/>
    <xf numFmtId="0" fontId="15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0" fontId="16" fillId="7" borderId="1" applyNumberFormat="0" applyAlignment="0" applyProtection="0"/>
    <xf numFmtId="0" fontId="17" fillId="0" borderId="6" applyNumberFormat="0" applyFill="0" applyAlignment="0" applyProtection="0"/>
    <xf numFmtId="0" fontId="18" fillId="22" borderId="0" applyNumberFormat="0" applyBorder="0" applyAlignment="0" applyProtection="0"/>
    <xf numFmtId="0" fontId="1" fillId="23" borderId="7" applyNumberFormat="0" applyFont="0" applyAlignment="0" applyProtection="0"/>
    <xf numFmtId="0" fontId="19" fillId="20" borderId="8" applyNumberForma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0" borderId="0" applyNumberFormat="0" applyFill="0" applyBorder="0" applyAlignment="0" applyProtection="0"/>
  </cellStyleXfs>
  <cellXfs count="40">
    <xf numFmtId="0" fontId="0" fillId="0" borderId="0" xfId="0"/>
    <xf numFmtId="0" fontId="2" fillId="24" borderId="0" xfId="0" applyFont="1" applyFill="1"/>
    <xf numFmtId="164" fontId="0" fillId="0" borderId="0" xfId="0" applyNumberFormat="1"/>
    <xf numFmtId="0" fontId="2" fillId="24" borderId="0" xfId="0" applyFont="1" applyFill="1" applyAlignment="1">
      <alignment horizontal="center"/>
    </xf>
    <xf numFmtId="0" fontId="0" fillId="0" borderId="0" xfId="0" applyAlignment="1">
      <alignment horizontal="center"/>
    </xf>
    <xf numFmtId="1" fontId="0" fillId="0" borderId="0" xfId="0" applyNumberFormat="1"/>
    <xf numFmtId="166" fontId="0" fillId="0" borderId="0" xfId="28" applyNumberFormat="1" applyFont="1"/>
    <xf numFmtId="2" fontId="0" fillId="0" borderId="0" xfId="0" applyNumberFormat="1"/>
    <xf numFmtId="164" fontId="0" fillId="0" borderId="0" xfId="0" applyNumberFormat="1" applyAlignment="1">
      <alignment horizontal="center"/>
    </xf>
    <xf numFmtId="0" fontId="0" fillId="25" borderId="0" xfId="0" applyFill="1"/>
    <xf numFmtId="0" fontId="0" fillId="25" borderId="0" xfId="0" applyFill="1" applyAlignment="1">
      <alignment horizontal="center"/>
    </xf>
    <xf numFmtId="0" fontId="0" fillId="26" borderId="0" xfId="0" applyFill="1"/>
    <xf numFmtId="0" fontId="0" fillId="24" borderId="0" xfId="0" applyFill="1"/>
    <xf numFmtId="0" fontId="4" fillId="24" borderId="0" xfId="0" applyFont="1" applyFill="1"/>
    <xf numFmtId="0" fontId="2" fillId="0" borderId="0" xfId="0" applyFont="1"/>
    <xf numFmtId="0" fontId="0" fillId="27" borderId="0" xfId="0" applyFill="1"/>
    <xf numFmtId="0" fontId="2" fillId="28" borderId="0" xfId="0" applyFont="1" applyFill="1" applyAlignment="1">
      <alignment horizontal="right"/>
    </xf>
    <xf numFmtId="0" fontId="2" fillId="0" borderId="10" xfId="0" applyFont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4" borderId="0" xfId="0" applyFill="1" applyBorder="1"/>
    <xf numFmtId="0" fontId="0" fillId="0" borderId="14" xfId="0" applyBorder="1"/>
    <xf numFmtId="0" fontId="0" fillId="27" borderId="0" xfId="0" applyFill="1" applyBorder="1"/>
    <xf numFmtId="0" fontId="0" fillId="0" borderId="15" xfId="0" applyBorder="1"/>
    <xf numFmtId="0" fontId="0" fillId="26" borderId="16" xfId="0" applyFill="1" applyBorder="1"/>
    <xf numFmtId="0" fontId="0" fillId="0" borderId="17" xfId="0" applyBorder="1"/>
    <xf numFmtId="0" fontId="0" fillId="29" borderId="0" xfId="0" applyFill="1"/>
    <xf numFmtId="0" fontId="2" fillId="0" borderId="13" xfId="0" applyFont="1" applyBorder="1"/>
    <xf numFmtId="0" fontId="0" fillId="29" borderId="0" xfId="0" applyFill="1" applyBorder="1"/>
    <xf numFmtId="44" fontId="0" fillId="0" borderId="0" xfId="29" applyFont="1"/>
    <xf numFmtId="0" fontId="2" fillId="24" borderId="0" xfId="0" applyFont="1" applyFill="1" applyAlignment="1">
      <alignment horizontal="right"/>
    </xf>
    <xf numFmtId="44" fontId="2" fillId="24" borderId="0" xfId="29" applyFont="1" applyFill="1"/>
    <xf numFmtId="0" fontId="5" fillId="0" borderId="0" xfId="36" applyAlignment="1" applyProtection="1"/>
    <xf numFmtId="0" fontId="0" fillId="0" borderId="0" xfId="0" quotePrefix="1"/>
    <xf numFmtId="165" fontId="0" fillId="0" borderId="0" xfId="28" applyNumberFormat="1" applyFont="1"/>
    <xf numFmtId="0" fontId="5" fillId="0" borderId="0" xfId="36" applyFont="1" applyAlignment="1" applyProtection="1"/>
    <xf numFmtId="0" fontId="2" fillId="29" borderId="0" xfId="0" applyFont="1" applyFill="1"/>
    <xf numFmtId="0" fontId="4" fillId="0" borderId="0" xfId="0" applyFont="1"/>
    <xf numFmtId="0" fontId="2" fillId="30" borderId="0" xfId="0" applyFont="1" applyFill="1"/>
  </cellXfs>
  <cellStyles count="45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" xfId="28" builtinId="3"/>
    <cellStyle name="Currency" xfId="29" builtinId="4"/>
    <cellStyle name="Explanatory Text" xfId="30" builtinId="53" customBuiltin="1"/>
    <cellStyle name="Good" xfId="31" builtinId="26" customBuiltin="1"/>
    <cellStyle name="Heading 1" xfId="32" builtinId="16" customBuiltin="1"/>
    <cellStyle name="Heading 2" xfId="33" builtinId="17" customBuiltin="1"/>
    <cellStyle name="Heading 3" xfId="34" builtinId="18" customBuiltin="1"/>
    <cellStyle name="Heading 4" xfId="35" builtinId="19" customBuiltin="1"/>
    <cellStyle name="Hyperlink" xfId="36" builtinId="8"/>
    <cellStyle name="Input" xfId="37" builtinId="20" customBuiltin="1"/>
    <cellStyle name="Linked Cell" xfId="38" builtinId="24" customBuiltin="1"/>
    <cellStyle name="Neutral" xfId="39" builtinId="28" customBuiltin="1"/>
    <cellStyle name="Normal" xfId="0" builtinId="0"/>
    <cellStyle name="Note" xfId="40" builtinId="10" customBuiltin="1"/>
    <cellStyle name="Output" xfId="41" builtinId="21" customBuiltin="1"/>
    <cellStyle name="Title" xfId="42" builtinId="15" customBuiltin="1"/>
    <cellStyle name="Total" xfId="43" builtinId="25" customBuiltin="1"/>
    <cellStyle name="Warning Text" xfId="4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9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Enable Input Voltage and Current</a:t>
            </a:r>
          </a:p>
        </c:rich>
      </c:tx>
      <c:layout>
        <c:manualLayout>
          <c:xMode val="edge"/>
          <c:yMode val="edge"/>
          <c:x val="0.27926099586627645"/>
          <c:y val="3.630363036303630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963053014162174"/>
          <c:y val="0.19802044019582882"/>
          <c:w val="0.59753653340017543"/>
          <c:h val="0.66666881532595701"/>
        </c:manualLayout>
      </c:layout>
      <c:scatterChart>
        <c:scatterStyle val="lineMarker"/>
        <c:varyColors val="0"/>
        <c:ser>
          <c:idx val="0"/>
          <c:order val="0"/>
          <c:tx>
            <c:strRef>
              <c:f>'Analog Power Supply'!$B$27</c:f>
              <c:strCache>
                <c:ptCount val="1"/>
                <c:pt idx="0">
                  <c:v>Enable In (v)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xVal>
            <c:numRef>
              <c:f>'Analog Power Supply'!$A$28:$A$63</c:f>
              <c:numCache>
                <c:formatCode>General</c:formatCode>
                <c:ptCount val="36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1.5</c:v>
                </c:pt>
                <c:pt idx="4">
                  <c:v>2</c:v>
                </c:pt>
                <c:pt idx="5">
                  <c:v>2.5</c:v>
                </c:pt>
                <c:pt idx="6">
                  <c:v>3</c:v>
                </c:pt>
                <c:pt idx="7">
                  <c:v>3.5</c:v>
                </c:pt>
                <c:pt idx="8">
                  <c:v>4</c:v>
                </c:pt>
                <c:pt idx="9">
                  <c:v>4.5</c:v>
                </c:pt>
                <c:pt idx="10">
                  <c:v>5</c:v>
                </c:pt>
                <c:pt idx="11">
                  <c:v>5.5</c:v>
                </c:pt>
                <c:pt idx="12">
                  <c:v>6</c:v>
                </c:pt>
                <c:pt idx="13">
                  <c:v>6.5</c:v>
                </c:pt>
                <c:pt idx="14">
                  <c:v>7</c:v>
                </c:pt>
                <c:pt idx="15">
                  <c:v>7.5</c:v>
                </c:pt>
                <c:pt idx="16">
                  <c:v>8</c:v>
                </c:pt>
                <c:pt idx="17">
                  <c:v>8.5</c:v>
                </c:pt>
                <c:pt idx="18">
                  <c:v>9</c:v>
                </c:pt>
                <c:pt idx="19">
                  <c:v>10</c:v>
                </c:pt>
                <c:pt idx="20">
                  <c:v>12</c:v>
                </c:pt>
                <c:pt idx="21">
                  <c:v>14</c:v>
                </c:pt>
                <c:pt idx="22">
                  <c:v>16</c:v>
                </c:pt>
                <c:pt idx="23">
                  <c:v>18</c:v>
                </c:pt>
                <c:pt idx="24">
                  <c:v>20</c:v>
                </c:pt>
                <c:pt idx="25">
                  <c:v>22</c:v>
                </c:pt>
                <c:pt idx="26">
                  <c:v>24</c:v>
                </c:pt>
                <c:pt idx="27">
                  <c:v>26</c:v>
                </c:pt>
                <c:pt idx="28">
                  <c:v>28</c:v>
                </c:pt>
                <c:pt idx="29">
                  <c:v>30</c:v>
                </c:pt>
                <c:pt idx="30">
                  <c:v>32</c:v>
                </c:pt>
                <c:pt idx="31">
                  <c:v>34</c:v>
                </c:pt>
                <c:pt idx="32">
                  <c:v>36</c:v>
                </c:pt>
                <c:pt idx="33">
                  <c:v>38</c:v>
                </c:pt>
                <c:pt idx="34">
                  <c:v>40</c:v>
                </c:pt>
                <c:pt idx="35">
                  <c:v>42</c:v>
                </c:pt>
              </c:numCache>
            </c:numRef>
          </c:xVal>
          <c:yVal>
            <c:numRef>
              <c:f>'Analog Power Supply'!$B$28:$B$63</c:f>
              <c:numCache>
                <c:formatCode>0.00</c:formatCode>
                <c:ptCount val="36"/>
                <c:pt idx="0">
                  <c:v>0</c:v>
                </c:pt>
                <c:pt idx="1">
                  <c:v>0.42372881355932202</c:v>
                </c:pt>
                <c:pt idx="2">
                  <c:v>0.84745762711864403</c:v>
                </c:pt>
                <c:pt idx="3">
                  <c:v>1.271186440677966</c:v>
                </c:pt>
                <c:pt idx="4">
                  <c:v>1.6949152542372881</c:v>
                </c:pt>
                <c:pt idx="5">
                  <c:v>2.1186440677966103</c:v>
                </c:pt>
                <c:pt idx="6">
                  <c:v>2.5423728813559321</c:v>
                </c:pt>
                <c:pt idx="7">
                  <c:v>2.9661016949152543</c:v>
                </c:pt>
                <c:pt idx="8">
                  <c:v>3.3898305084745761</c:v>
                </c:pt>
                <c:pt idx="9">
                  <c:v>3.8135593220338984</c:v>
                </c:pt>
                <c:pt idx="10">
                  <c:v>4.2372881355932206</c:v>
                </c:pt>
                <c:pt idx="11">
                  <c:v>4.6610169491525424</c:v>
                </c:pt>
                <c:pt idx="12">
                  <c:v>4.8</c:v>
                </c:pt>
                <c:pt idx="13">
                  <c:v>4.8</c:v>
                </c:pt>
                <c:pt idx="14">
                  <c:v>4.8</c:v>
                </c:pt>
                <c:pt idx="15">
                  <c:v>4.8</c:v>
                </c:pt>
                <c:pt idx="16">
                  <c:v>4.8</c:v>
                </c:pt>
                <c:pt idx="17">
                  <c:v>4.8</c:v>
                </c:pt>
                <c:pt idx="18">
                  <c:v>4.8</c:v>
                </c:pt>
                <c:pt idx="19">
                  <c:v>4.8</c:v>
                </c:pt>
                <c:pt idx="20">
                  <c:v>4.8</c:v>
                </c:pt>
                <c:pt idx="21">
                  <c:v>4.8</c:v>
                </c:pt>
                <c:pt idx="22">
                  <c:v>4.8</c:v>
                </c:pt>
                <c:pt idx="23">
                  <c:v>4.8</c:v>
                </c:pt>
                <c:pt idx="24">
                  <c:v>4.8</c:v>
                </c:pt>
                <c:pt idx="25">
                  <c:v>4.8</c:v>
                </c:pt>
                <c:pt idx="26">
                  <c:v>4.8</c:v>
                </c:pt>
                <c:pt idx="27">
                  <c:v>4.8</c:v>
                </c:pt>
                <c:pt idx="28">
                  <c:v>4.8</c:v>
                </c:pt>
                <c:pt idx="29">
                  <c:v>4.8</c:v>
                </c:pt>
                <c:pt idx="30">
                  <c:v>4.8</c:v>
                </c:pt>
                <c:pt idx="31">
                  <c:v>4.8</c:v>
                </c:pt>
                <c:pt idx="32">
                  <c:v>4.8</c:v>
                </c:pt>
                <c:pt idx="33">
                  <c:v>4.8</c:v>
                </c:pt>
                <c:pt idx="34">
                  <c:v>4.8</c:v>
                </c:pt>
                <c:pt idx="35">
                  <c:v>4.8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'Analog Power Supply'!$C$27</c:f>
              <c:strCache>
                <c:ptCount val="1"/>
                <c:pt idx="0">
                  <c:v>Current (mA)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xVal>
            <c:numRef>
              <c:f>'Analog Power Supply'!$A$28:$A$63</c:f>
              <c:numCache>
                <c:formatCode>General</c:formatCode>
                <c:ptCount val="36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1.5</c:v>
                </c:pt>
                <c:pt idx="4">
                  <c:v>2</c:v>
                </c:pt>
                <c:pt idx="5">
                  <c:v>2.5</c:v>
                </c:pt>
                <c:pt idx="6">
                  <c:v>3</c:v>
                </c:pt>
                <c:pt idx="7">
                  <c:v>3.5</c:v>
                </c:pt>
                <c:pt idx="8">
                  <c:v>4</c:v>
                </c:pt>
                <c:pt idx="9">
                  <c:v>4.5</c:v>
                </c:pt>
                <c:pt idx="10">
                  <c:v>5</c:v>
                </c:pt>
                <c:pt idx="11">
                  <c:v>5.5</c:v>
                </c:pt>
                <c:pt idx="12">
                  <c:v>6</c:v>
                </c:pt>
                <c:pt idx="13">
                  <c:v>6.5</c:v>
                </c:pt>
                <c:pt idx="14">
                  <c:v>7</c:v>
                </c:pt>
                <c:pt idx="15">
                  <c:v>7.5</c:v>
                </c:pt>
                <c:pt idx="16">
                  <c:v>8</c:v>
                </c:pt>
                <c:pt idx="17">
                  <c:v>8.5</c:v>
                </c:pt>
                <c:pt idx="18">
                  <c:v>9</c:v>
                </c:pt>
                <c:pt idx="19">
                  <c:v>10</c:v>
                </c:pt>
                <c:pt idx="20">
                  <c:v>12</c:v>
                </c:pt>
                <c:pt idx="21">
                  <c:v>14</c:v>
                </c:pt>
                <c:pt idx="22">
                  <c:v>16</c:v>
                </c:pt>
                <c:pt idx="23">
                  <c:v>18</c:v>
                </c:pt>
                <c:pt idx="24">
                  <c:v>20</c:v>
                </c:pt>
                <c:pt idx="25">
                  <c:v>22</c:v>
                </c:pt>
                <c:pt idx="26">
                  <c:v>24</c:v>
                </c:pt>
                <c:pt idx="27">
                  <c:v>26</c:v>
                </c:pt>
                <c:pt idx="28">
                  <c:v>28</c:v>
                </c:pt>
                <c:pt idx="29">
                  <c:v>30</c:v>
                </c:pt>
                <c:pt idx="30">
                  <c:v>32</c:v>
                </c:pt>
                <c:pt idx="31">
                  <c:v>34</c:v>
                </c:pt>
                <c:pt idx="32">
                  <c:v>36</c:v>
                </c:pt>
                <c:pt idx="33">
                  <c:v>38</c:v>
                </c:pt>
                <c:pt idx="34">
                  <c:v>40</c:v>
                </c:pt>
                <c:pt idx="35">
                  <c:v>42</c:v>
                </c:pt>
              </c:numCache>
            </c:numRef>
          </c:xVal>
          <c:yVal>
            <c:numRef>
              <c:f>'Analog Power Supply'!$C$28:$C$63</c:f>
              <c:numCache>
                <c:formatCode>0.000</c:formatCode>
                <c:ptCount val="36"/>
                <c:pt idx="0">
                  <c:v>0</c:v>
                </c:pt>
                <c:pt idx="1">
                  <c:v>4.2372881355932212E-3</c:v>
                </c:pt>
                <c:pt idx="2">
                  <c:v>8.4745762711864424E-3</c:v>
                </c:pt>
                <c:pt idx="3">
                  <c:v>1.2711864406779665E-2</c:v>
                </c:pt>
                <c:pt idx="4">
                  <c:v>1.6949152542372885E-2</c:v>
                </c:pt>
                <c:pt idx="5">
                  <c:v>2.1186440677966097E-2</c:v>
                </c:pt>
                <c:pt idx="6">
                  <c:v>2.5423728813559331E-2</c:v>
                </c:pt>
                <c:pt idx="7">
                  <c:v>2.9661016949152536E-2</c:v>
                </c:pt>
                <c:pt idx="8">
                  <c:v>3.389830508474577E-2</c:v>
                </c:pt>
                <c:pt idx="9">
                  <c:v>3.8135593220338979E-2</c:v>
                </c:pt>
                <c:pt idx="10">
                  <c:v>4.2372881355932195E-2</c:v>
                </c:pt>
                <c:pt idx="11">
                  <c:v>4.6610169491525424E-2</c:v>
                </c:pt>
                <c:pt idx="12">
                  <c:v>6.666666666666668E-2</c:v>
                </c:pt>
                <c:pt idx="13">
                  <c:v>9.4444444444444456E-2</c:v>
                </c:pt>
                <c:pt idx="14">
                  <c:v>0.12222222222222222</c:v>
                </c:pt>
                <c:pt idx="15">
                  <c:v>0.15</c:v>
                </c:pt>
                <c:pt idx="16">
                  <c:v>0.17777777777777778</c:v>
                </c:pt>
                <c:pt idx="17">
                  <c:v>0.20555555555555555</c:v>
                </c:pt>
                <c:pt idx="18">
                  <c:v>0.23333333333333334</c:v>
                </c:pt>
                <c:pt idx="19">
                  <c:v>0.28888888888888886</c:v>
                </c:pt>
                <c:pt idx="20">
                  <c:v>0.4</c:v>
                </c:pt>
                <c:pt idx="21">
                  <c:v>0.51111111111111107</c:v>
                </c:pt>
                <c:pt idx="22">
                  <c:v>0.62222222222222223</c:v>
                </c:pt>
                <c:pt idx="23">
                  <c:v>0.73333333333333328</c:v>
                </c:pt>
                <c:pt idx="24">
                  <c:v>0.84444444444444444</c:v>
                </c:pt>
                <c:pt idx="25">
                  <c:v>0.9555555555555556</c:v>
                </c:pt>
                <c:pt idx="26">
                  <c:v>1.0666666666666667</c:v>
                </c:pt>
                <c:pt idx="27">
                  <c:v>1.1777777777777778</c:v>
                </c:pt>
                <c:pt idx="28">
                  <c:v>1.288888888888889</c:v>
                </c:pt>
                <c:pt idx="29">
                  <c:v>1.4</c:v>
                </c:pt>
                <c:pt idx="30">
                  <c:v>1.5111111111111111</c:v>
                </c:pt>
                <c:pt idx="31">
                  <c:v>1.6222222222222222</c:v>
                </c:pt>
                <c:pt idx="32">
                  <c:v>1.7333333333333334</c:v>
                </c:pt>
                <c:pt idx="33">
                  <c:v>1.8444444444444446</c:v>
                </c:pt>
                <c:pt idx="34">
                  <c:v>1.9555555555555555</c:v>
                </c:pt>
                <c:pt idx="35">
                  <c:v>2.0666666666666669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5965952"/>
        <c:axId val="75967872"/>
      </c:scatterChart>
      <c:valAx>
        <c:axId val="759659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5967872"/>
        <c:crosses val="autoZero"/>
        <c:crossBetween val="midCat"/>
      </c:valAx>
      <c:valAx>
        <c:axId val="75967872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t>Wake-In Voltage</a:t>
                </a:r>
              </a:p>
            </c:rich>
          </c:tx>
          <c:layout>
            <c:manualLayout>
              <c:xMode val="edge"/>
              <c:yMode val="edge"/>
              <c:x val="3.2854209445585217E-2"/>
              <c:y val="0.37953933976074772"/>
            </c:manualLayout>
          </c:layout>
          <c:overlay val="0"/>
          <c:spPr>
            <a:noFill/>
            <a:ln w="25400">
              <a:noFill/>
            </a:ln>
          </c:spPr>
        </c:title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5965952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77618156046715925"/>
          <c:y val="0.46864825065183685"/>
          <c:w val="0.98357397317121809"/>
          <c:h val="0.59736146843030757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'Ribbon Con'!$C$1</c:f>
              <c:strCache>
                <c:ptCount val="1"/>
                <c:pt idx="0">
                  <c:v>Y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15"/>
          </c:marker>
          <c:xVal>
            <c:numRef>
              <c:f>'Ribbon Con'!$B$2:$B$7</c:f>
              <c:numCache>
                <c:formatCode>General</c:formatCode>
                <c:ptCount val="6"/>
                <c:pt idx="0">
                  <c:v>-3.125</c:v>
                </c:pt>
                <c:pt idx="1">
                  <c:v>-1.875</c:v>
                </c:pt>
                <c:pt idx="2">
                  <c:v>-0.625</c:v>
                </c:pt>
                <c:pt idx="3">
                  <c:v>0.625</c:v>
                </c:pt>
                <c:pt idx="4">
                  <c:v>1.875</c:v>
                </c:pt>
                <c:pt idx="5">
                  <c:v>3.125</c:v>
                </c:pt>
              </c:numCache>
            </c:numRef>
          </c:xVal>
          <c:yVal>
            <c:numRef>
              <c:f>'Ribbon Con'!$C$2:$C$7</c:f>
              <c:numCache>
                <c:formatCode>General</c:formatCode>
                <c:ptCount val="6"/>
                <c:pt idx="0">
                  <c:v>1</c:v>
                </c:pt>
                <c:pt idx="1">
                  <c:v>-1</c:v>
                </c:pt>
                <c:pt idx="2">
                  <c:v>1</c:v>
                </c:pt>
                <c:pt idx="3">
                  <c:v>-1</c:v>
                </c:pt>
                <c:pt idx="4">
                  <c:v>1</c:v>
                </c:pt>
                <c:pt idx="5">
                  <c:v>-1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5848448"/>
        <c:axId val="86464384"/>
      </c:scatterChart>
      <c:valAx>
        <c:axId val="8584844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86464384"/>
        <c:crosses val="autoZero"/>
        <c:crossBetween val="midCat"/>
      </c:valAx>
      <c:valAx>
        <c:axId val="8646438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85848448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'Ribbon Con'!$C$16</c:f>
              <c:strCache>
                <c:ptCount val="1"/>
                <c:pt idx="0">
                  <c:v>Y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15"/>
          </c:marker>
          <c:xVal>
            <c:numRef>
              <c:f>'Ribbon Con'!$B$17:$B$19</c:f>
              <c:numCache>
                <c:formatCode>General</c:formatCode>
                <c:ptCount val="3"/>
                <c:pt idx="0">
                  <c:v>-1.25</c:v>
                </c:pt>
                <c:pt idx="1">
                  <c:v>0</c:v>
                </c:pt>
                <c:pt idx="2">
                  <c:v>1.25</c:v>
                </c:pt>
              </c:numCache>
            </c:numRef>
          </c:xVal>
          <c:yVal>
            <c:numRef>
              <c:f>'Ribbon Con'!$C$17:$C$19</c:f>
              <c:numCache>
                <c:formatCode>General</c:formatCode>
                <c:ptCount val="3"/>
                <c:pt idx="0">
                  <c:v>1</c:v>
                </c:pt>
                <c:pt idx="1">
                  <c:v>-1</c:v>
                </c:pt>
                <c:pt idx="2">
                  <c:v>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6074752"/>
        <c:axId val="96096256"/>
      </c:scatterChart>
      <c:valAx>
        <c:axId val="960747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96096256"/>
        <c:crosses val="autoZero"/>
        <c:crossBetween val="midCat"/>
      </c:valAx>
      <c:valAx>
        <c:axId val="9609625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96074752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457200</xdr:colOff>
      <xdr:row>2</xdr:row>
      <xdr:rowOff>142875</xdr:rowOff>
    </xdr:from>
    <xdr:to>
      <xdr:col>9</xdr:col>
      <xdr:colOff>190500</xdr:colOff>
      <xdr:row>26</xdr:row>
      <xdr:rowOff>28575</xdr:rowOff>
    </xdr:to>
    <xdr:pic>
      <xdr:nvPicPr>
        <xdr:cNvPr id="20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7075" y="466725"/>
          <a:ext cx="3390900" cy="3771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352425</xdr:colOff>
      <xdr:row>33</xdr:row>
      <xdr:rowOff>76200</xdr:rowOff>
    </xdr:from>
    <xdr:to>
      <xdr:col>4</xdr:col>
      <xdr:colOff>933450</xdr:colOff>
      <xdr:row>51</xdr:row>
      <xdr:rowOff>47625</xdr:rowOff>
    </xdr:to>
    <xdr:graphicFrame macro="">
      <xdr:nvGraphicFramePr>
        <xdr:cNvPr id="1039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581025</xdr:colOff>
      <xdr:row>1</xdr:row>
      <xdr:rowOff>0</xdr:rowOff>
    </xdr:from>
    <xdr:to>
      <xdr:col>10</xdr:col>
      <xdr:colOff>0</xdr:colOff>
      <xdr:row>11</xdr:row>
      <xdr:rowOff>0</xdr:rowOff>
    </xdr:to>
    <xdr:graphicFrame macro="">
      <xdr:nvGraphicFramePr>
        <xdr:cNvPr id="4123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16</xdr:row>
      <xdr:rowOff>0</xdr:rowOff>
    </xdr:from>
    <xdr:to>
      <xdr:col>10</xdr:col>
      <xdr:colOff>0</xdr:colOff>
      <xdr:row>24</xdr:row>
      <xdr:rowOff>0</xdr:rowOff>
    </xdr:to>
    <xdr:graphicFrame macro="">
      <xdr:nvGraphicFramePr>
        <xdr:cNvPr id="4124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1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microchip.com/wwwproducts/Devices.aspx?dDocName=en535056" TargetMode="External"/><Relationship Id="rId3" Type="http://schemas.openxmlformats.org/officeDocument/2006/relationships/hyperlink" Target="http://focus.ti.com/docs/prod/folders/print/sn65hvda195-q1.html" TargetMode="External"/><Relationship Id="rId7" Type="http://schemas.openxmlformats.org/officeDocument/2006/relationships/hyperlink" Target="http://www.infineon.com/cms/en/product/PSLPopup.html?productType=db3a3044139a1b9f0113b4b7784105c3" TargetMode="External"/><Relationship Id="rId12" Type="http://schemas.openxmlformats.org/officeDocument/2006/relationships/printerSettings" Target="../printerSettings/printerSettings4.bin"/><Relationship Id="rId2" Type="http://schemas.openxmlformats.org/officeDocument/2006/relationships/hyperlink" Target="http://focus.ti.com/docs/prod/folders/print/tpic1021a-q1.html" TargetMode="External"/><Relationship Id="rId1" Type="http://schemas.openxmlformats.org/officeDocument/2006/relationships/hyperlink" Target="http://www.onsemi.com/PowerSolutions/product.do?id=NCV7321" TargetMode="External"/><Relationship Id="rId6" Type="http://schemas.openxmlformats.org/officeDocument/2006/relationships/hyperlink" Target="http://www.infineon.com/cms/en/product/PSLPopup.html?productType=db3a3044139a1b9f01139b2e974c008b" TargetMode="External"/><Relationship Id="rId11" Type="http://schemas.openxmlformats.org/officeDocument/2006/relationships/hyperlink" Target="http://www.atmel.com/devices/ATTINY167AUTOMOTIVE.aspx" TargetMode="External"/><Relationship Id="rId5" Type="http://schemas.openxmlformats.org/officeDocument/2006/relationships/hyperlink" Target="http://www.nxp.com/products/interface_and_connectivity/transceivers/lin_transceivers/TJA1028.html" TargetMode="External"/><Relationship Id="rId10" Type="http://schemas.openxmlformats.org/officeDocument/2006/relationships/hyperlink" Target="http://www.atmel.com/devices/ATMEGA16M1AUTOMOTIVE.aspx" TargetMode="External"/><Relationship Id="rId4" Type="http://schemas.openxmlformats.org/officeDocument/2006/relationships/hyperlink" Target="http://www.nxp.com/products/interface_and_connectivity/transceivers/lin_transceivers/TJA1028.html" TargetMode="External"/><Relationship Id="rId9" Type="http://schemas.openxmlformats.org/officeDocument/2006/relationships/hyperlink" Target="http://www.microchip.com/wwwproducts/Devices.aspx?dDocName=en535056" TargetMode="Externa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C2"/>
  <sheetViews>
    <sheetView workbookViewId="0">
      <selection activeCell="A3" sqref="A3"/>
    </sheetView>
  </sheetViews>
  <sheetFormatPr defaultRowHeight="12.75" x14ac:dyDescent="0.2"/>
  <cols>
    <col min="1" max="1" width="22.85546875" customWidth="1"/>
    <col min="2" max="2" width="12.5703125" customWidth="1"/>
    <col min="3" max="3" width="10.42578125" customWidth="1"/>
  </cols>
  <sheetData>
    <row r="1" spans="1:3" x14ac:dyDescent="0.2">
      <c r="A1" s="1" t="s">
        <v>327</v>
      </c>
      <c r="B1" s="1" t="s">
        <v>214</v>
      </c>
      <c r="C1" s="3" t="s">
        <v>213</v>
      </c>
    </row>
    <row r="2" spans="1:3" x14ac:dyDescent="0.2">
      <c r="A2" t="s">
        <v>328</v>
      </c>
      <c r="B2" s="30">
        <v>2.08</v>
      </c>
      <c r="C2">
        <v>300</v>
      </c>
    </row>
  </sheetData>
  <phoneticPr fontId="3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E29"/>
  <sheetViews>
    <sheetView workbookViewId="0">
      <selection sqref="A1:C1"/>
    </sheetView>
  </sheetViews>
  <sheetFormatPr defaultRowHeight="12.75" x14ac:dyDescent="0.2"/>
  <cols>
    <col min="1" max="1" width="22.28515625" customWidth="1"/>
    <col min="3" max="3" width="9.28515625" bestFit="1" customWidth="1"/>
    <col min="4" max="4" width="12.5703125" customWidth="1"/>
    <col min="5" max="5" width="35.140625" bestFit="1" customWidth="1"/>
    <col min="6" max="6" width="10" customWidth="1"/>
  </cols>
  <sheetData>
    <row r="1" spans="1:5" x14ac:dyDescent="0.2">
      <c r="A1" s="1" t="s">
        <v>212</v>
      </c>
      <c r="B1" s="1" t="s">
        <v>214</v>
      </c>
      <c r="C1" s="3" t="s">
        <v>213</v>
      </c>
      <c r="E1" s="3" t="s">
        <v>50</v>
      </c>
    </row>
    <row r="2" spans="1:5" x14ac:dyDescent="0.2">
      <c r="A2" t="s">
        <v>222</v>
      </c>
      <c r="B2" s="30">
        <v>4.5</v>
      </c>
      <c r="C2" s="6">
        <v>2000</v>
      </c>
      <c r="E2" s="6" t="s">
        <v>234</v>
      </c>
    </row>
    <row r="3" spans="1:5" x14ac:dyDescent="0.2">
      <c r="A3" t="s">
        <v>232</v>
      </c>
      <c r="B3" s="30">
        <v>0.25</v>
      </c>
      <c r="C3" s="6">
        <v>2000</v>
      </c>
      <c r="E3" s="6" t="s">
        <v>235</v>
      </c>
    </row>
    <row r="4" spans="1:5" x14ac:dyDescent="0.2">
      <c r="A4" t="s">
        <v>96</v>
      </c>
      <c r="B4" s="30">
        <v>4</v>
      </c>
      <c r="C4" s="6">
        <v>2000</v>
      </c>
      <c r="E4" s="6" t="s">
        <v>236</v>
      </c>
    </row>
    <row r="5" spans="1:5" x14ac:dyDescent="0.2">
      <c r="A5" t="s">
        <v>221</v>
      </c>
      <c r="B5" s="30">
        <v>0.1</v>
      </c>
      <c r="C5" s="6">
        <v>2000</v>
      </c>
      <c r="E5" s="6" t="s">
        <v>237</v>
      </c>
    </row>
    <row r="6" spans="1:5" x14ac:dyDescent="0.2">
      <c r="A6" t="s">
        <v>220</v>
      </c>
      <c r="B6" s="30">
        <v>0.25</v>
      </c>
      <c r="C6" s="6">
        <v>2000</v>
      </c>
      <c r="E6" s="6"/>
    </row>
    <row r="7" spans="1:5" x14ac:dyDescent="0.2">
      <c r="A7" t="s">
        <v>219</v>
      </c>
      <c r="B7" s="30">
        <v>1</v>
      </c>
      <c r="C7" s="6">
        <v>2000</v>
      </c>
      <c r="E7" s="6"/>
    </row>
    <row r="8" spans="1:5" x14ac:dyDescent="0.2">
      <c r="A8" t="s">
        <v>81</v>
      </c>
      <c r="B8" s="30">
        <v>1</v>
      </c>
      <c r="C8" s="6">
        <v>2000</v>
      </c>
      <c r="E8" s="6"/>
    </row>
    <row r="9" spans="1:5" x14ac:dyDescent="0.2">
      <c r="A9" t="s">
        <v>79</v>
      </c>
      <c r="B9" s="30">
        <v>1</v>
      </c>
      <c r="C9" s="6">
        <v>2000</v>
      </c>
      <c r="E9" s="6" t="s">
        <v>238</v>
      </c>
    </row>
    <row r="10" spans="1:5" x14ac:dyDescent="0.2">
      <c r="A10" t="s">
        <v>218</v>
      </c>
      <c r="B10" s="30">
        <v>3.75</v>
      </c>
      <c r="C10" s="6">
        <v>2000</v>
      </c>
      <c r="E10" s="6"/>
    </row>
    <row r="11" spans="1:5" x14ac:dyDescent="0.2">
      <c r="A11" t="s">
        <v>217</v>
      </c>
      <c r="B11" s="30">
        <v>0.1</v>
      </c>
      <c r="C11" s="6">
        <v>2000</v>
      </c>
      <c r="E11" s="6"/>
    </row>
    <row r="12" spans="1:5" x14ac:dyDescent="0.2">
      <c r="A12" t="s">
        <v>216</v>
      </c>
      <c r="B12" s="30">
        <v>0.25</v>
      </c>
      <c r="C12" s="6">
        <v>2000</v>
      </c>
      <c r="E12" s="6"/>
    </row>
    <row r="13" spans="1:5" x14ac:dyDescent="0.2">
      <c r="A13" t="s">
        <v>215</v>
      </c>
      <c r="B13" s="30">
        <v>2.25</v>
      </c>
      <c r="C13" s="6">
        <v>2000</v>
      </c>
      <c r="E13" s="6" t="s">
        <v>239</v>
      </c>
    </row>
    <row r="14" spans="1:5" x14ac:dyDescent="0.2">
      <c r="A14" t="s">
        <v>223</v>
      </c>
      <c r="B14" s="30">
        <v>3</v>
      </c>
      <c r="C14" s="6">
        <v>2000</v>
      </c>
      <c r="E14" s="6" t="s">
        <v>240</v>
      </c>
    </row>
    <row r="15" spans="1:5" x14ac:dyDescent="0.2">
      <c r="A15" s="31" t="s">
        <v>224</v>
      </c>
      <c r="B15" s="32">
        <f>SUM(B2:B14)</f>
        <v>21.45</v>
      </c>
      <c r="C15" s="6"/>
      <c r="E15" s="6"/>
    </row>
    <row r="16" spans="1:5" x14ac:dyDescent="0.2">
      <c r="B16" s="30"/>
      <c r="C16" s="6"/>
      <c r="E16" s="6"/>
    </row>
    <row r="17" spans="1:5" x14ac:dyDescent="0.2">
      <c r="B17" s="30"/>
      <c r="C17" s="6"/>
      <c r="E17" s="6"/>
    </row>
    <row r="18" spans="1:5" x14ac:dyDescent="0.2">
      <c r="B18" s="30"/>
      <c r="C18" s="6"/>
      <c r="E18" s="6"/>
    </row>
    <row r="19" spans="1:5" x14ac:dyDescent="0.2">
      <c r="A19" t="s">
        <v>233</v>
      </c>
      <c r="B19" s="30"/>
    </row>
    <row r="20" spans="1:5" x14ac:dyDescent="0.2">
      <c r="B20" s="30"/>
    </row>
    <row r="21" spans="1:5" x14ac:dyDescent="0.2">
      <c r="B21" s="30"/>
    </row>
    <row r="22" spans="1:5" x14ac:dyDescent="0.2">
      <c r="B22" s="30"/>
    </row>
    <row r="23" spans="1:5" x14ac:dyDescent="0.2">
      <c r="B23" s="30"/>
    </row>
    <row r="24" spans="1:5" x14ac:dyDescent="0.2">
      <c r="B24" s="1" t="s">
        <v>225</v>
      </c>
      <c r="C24" s="1" t="s">
        <v>226</v>
      </c>
      <c r="D24" s="1" t="s">
        <v>241</v>
      </c>
      <c r="E24" s="1" t="s">
        <v>1</v>
      </c>
    </row>
    <row r="25" spans="1:5" x14ac:dyDescent="0.2">
      <c r="B25" s="30" t="s">
        <v>227</v>
      </c>
      <c r="C25" t="s">
        <v>228</v>
      </c>
      <c r="D25" t="s">
        <v>228</v>
      </c>
      <c r="E25" t="s">
        <v>229</v>
      </c>
    </row>
    <row r="26" spans="1:5" x14ac:dyDescent="0.2">
      <c r="B26" s="30" t="s">
        <v>228</v>
      </c>
      <c r="C26" t="s">
        <v>227</v>
      </c>
      <c r="D26" t="s">
        <v>227</v>
      </c>
      <c r="E26" t="s">
        <v>230</v>
      </c>
    </row>
    <row r="27" spans="1:5" x14ac:dyDescent="0.2">
      <c r="B27" s="30" t="s">
        <v>228</v>
      </c>
      <c r="C27" t="s">
        <v>227</v>
      </c>
      <c r="D27" t="s">
        <v>228</v>
      </c>
      <c r="E27" t="s">
        <v>231</v>
      </c>
    </row>
    <row r="28" spans="1:5" x14ac:dyDescent="0.2">
      <c r="B28" s="30"/>
    </row>
    <row r="29" spans="1:5" x14ac:dyDescent="0.2">
      <c r="B29" s="30"/>
    </row>
  </sheetData>
  <phoneticPr fontId="3" type="noConversion"/>
  <pageMargins left="0.75" right="0.75" top="1" bottom="1" header="0.5" footer="0.5"/>
  <pageSetup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C16"/>
  <sheetViews>
    <sheetView workbookViewId="0">
      <selection sqref="A1:C1"/>
    </sheetView>
  </sheetViews>
  <sheetFormatPr defaultRowHeight="12.75" x14ac:dyDescent="0.2"/>
  <cols>
    <col min="1" max="1" width="24.28515625" customWidth="1"/>
    <col min="3" max="3" width="9.140625" style="4"/>
  </cols>
  <sheetData>
    <row r="1" spans="1:3" x14ac:dyDescent="0.2">
      <c r="A1" s="1" t="s">
        <v>1</v>
      </c>
      <c r="B1" s="1" t="s">
        <v>2</v>
      </c>
      <c r="C1" s="3" t="s">
        <v>3</v>
      </c>
    </row>
    <row r="2" spans="1:3" x14ac:dyDescent="0.2">
      <c r="A2" t="s">
        <v>15</v>
      </c>
      <c r="B2">
        <v>100000</v>
      </c>
      <c r="C2" s="4" t="s">
        <v>12</v>
      </c>
    </row>
    <row r="3" spans="1:3" x14ac:dyDescent="0.2">
      <c r="A3" t="s">
        <v>16</v>
      </c>
      <c r="B3">
        <v>18000</v>
      </c>
      <c r="C3" s="4" t="s">
        <v>12</v>
      </c>
    </row>
    <row r="5" spans="1:3" x14ac:dyDescent="0.2">
      <c r="A5" t="s">
        <v>17</v>
      </c>
      <c r="B5">
        <v>5</v>
      </c>
      <c r="C5" s="4" t="s">
        <v>4</v>
      </c>
    </row>
    <row r="6" spans="1:3" x14ac:dyDescent="0.2">
      <c r="A6" t="s">
        <v>9</v>
      </c>
      <c r="B6">
        <v>9</v>
      </c>
      <c r="C6" s="4" t="s">
        <v>4</v>
      </c>
    </row>
    <row r="7" spans="1:3" x14ac:dyDescent="0.2">
      <c r="A7" t="s">
        <v>10</v>
      </c>
      <c r="B7">
        <v>32</v>
      </c>
      <c r="C7" s="4" t="s">
        <v>4</v>
      </c>
    </row>
    <row r="9" spans="1:3" x14ac:dyDescent="0.2">
      <c r="A9" t="s">
        <v>20</v>
      </c>
      <c r="B9">
        <v>12</v>
      </c>
      <c r="C9" s="4" t="s">
        <v>21</v>
      </c>
    </row>
    <row r="11" spans="1:3" x14ac:dyDescent="0.2">
      <c r="A11" t="s">
        <v>25</v>
      </c>
      <c r="B11">
        <f>B$5/2^B$9</f>
        <v>1.220703125E-3</v>
      </c>
      <c r="C11" s="4" t="s">
        <v>4</v>
      </c>
    </row>
    <row r="12" spans="1:3" x14ac:dyDescent="0.2">
      <c r="A12" t="s">
        <v>18</v>
      </c>
      <c r="B12" s="2">
        <f>B6*B$3/(B$2+B$3)</f>
        <v>1.3728813559322033</v>
      </c>
      <c r="C12" s="4" t="s">
        <v>4</v>
      </c>
    </row>
    <row r="13" spans="1:3" x14ac:dyDescent="0.2">
      <c r="A13" t="s">
        <v>19</v>
      </c>
      <c r="B13" s="2">
        <f>B7*B$3/(B$2+B$3)</f>
        <v>4.8813559322033901</v>
      </c>
      <c r="C13" s="4" t="s">
        <v>4</v>
      </c>
    </row>
    <row r="15" spans="1:3" x14ac:dyDescent="0.2">
      <c r="A15" t="s">
        <v>22</v>
      </c>
      <c r="B15" s="5">
        <f>B12/B$5*2^B$9</f>
        <v>1124.664406779661</v>
      </c>
      <c r="C15" s="4" t="s">
        <v>24</v>
      </c>
    </row>
    <row r="16" spans="1:3" x14ac:dyDescent="0.2">
      <c r="A16" t="s">
        <v>23</v>
      </c>
      <c r="B16" s="5">
        <f>B13/B$5*2^B$9</f>
        <v>3998.8067796610171</v>
      </c>
      <c r="C16" s="4" t="s">
        <v>24</v>
      </c>
    </row>
  </sheetData>
  <phoneticPr fontId="3" type="noConversion"/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C11"/>
  <sheetViews>
    <sheetView workbookViewId="0"/>
  </sheetViews>
  <sheetFormatPr defaultRowHeight="12.75" x14ac:dyDescent="0.2"/>
  <cols>
    <col min="1" max="1" width="24.28515625" customWidth="1"/>
    <col min="3" max="3" width="9.140625" style="4"/>
  </cols>
  <sheetData>
    <row r="1" spans="1:3" x14ac:dyDescent="0.2">
      <c r="A1" s="1" t="s">
        <v>1</v>
      </c>
      <c r="B1" s="1" t="s">
        <v>2</v>
      </c>
      <c r="C1" s="3" t="s">
        <v>3</v>
      </c>
    </row>
    <row r="2" spans="1:3" x14ac:dyDescent="0.2">
      <c r="A2" t="s">
        <v>0</v>
      </c>
      <c r="B2">
        <v>3.2</v>
      </c>
      <c r="C2" s="4" t="s">
        <v>4</v>
      </c>
    </row>
    <row r="3" spans="1:3" x14ac:dyDescent="0.2">
      <c r="A3" t="s">
        <v>5</v>
      </c>
      <c r="B3">
        <v>0.02</v>
      </c>
      <c r="C3" s="4" t="s">
        <v>6</v>
      </c>
    </row>
    <row r="4" spans="1:3" x14ac:dyDescent="0.2">
      <c r="A4" t="s">
        <v>7</v>
      </c>
      <c r="B4">
        <v>2</v>
      </c>
      <c r="C4" s="4" t="s">
        <v>8</v>
      </c>
    </row>
    <row r="5" spans="1:3" x14ac:dyDescent="0.2">
      <c r="A5" t="s">
        <v>11</v>
      </c>
      <c r="B5">
        <v>130</v>
      </c>
      <c r="C5" s="4" t="s">
        <v>12</v>
      </c>
    </row>
    <row r="6" spans="1:3" x14ac:dyDescent="0.2">
      <c r="A6" t="s">
        <v>9</v>
      </c>
      <c r="B6">
        <v>9</v>
      </c>
      <c r="C6" s="4" t="s">
        <v>4</v>
      </c>
    </row>
    <row r="7" spans="1:3" x14ac:dyDescent="0.2">
      <c r="A7" t="s">
        <v>10</v>
      </c>
      <c r="B7">
        <v>32</v>
      </c>
      <c r="C7" s="4" t="s">
        <v>4</v>
      </c>
    </row>
    <row r="10" spans="1:3" x14ac:dyDescent="0.2">
      <c r="A10" t="s">
        <v>13</v>
      </c>
      <c r="B10" s="2">
        <f>(B6-B$4*B$2)/B$5</f>
        <v>1.9999999999999997E-2</v>
      </c>
      <c r="C10" s="4" t="s">
        <v>6</v>
      </c>
    </row>
    <row r="11" spans="1:3" x14ac:dyDescent="0.2">
      <c r="A11" t="s">
        <v>14</v>
      </c>
      <c r="B11" s="2">
        <f>(B7-B$4*B$2)/B$5</f>
        <v>0.19692307692307692</v>
      </c>
      <c r="C11" s="4" t="s">
        <v>6</v>
      </c>
    </row>
  </sheetData>
  <phoneticPr fontId="3" type="noConversion"/>
  <pageMargins left="0.75" right="0.75" top="1" bottom="1" header="0.5" footer="0.5"/>
  <pageSetup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E15"/>
  <sheetViews>
    <sheetView workbookViewId="0">
      <selection sqref="A1:E1"/>
    </sheetView>
  </sheetViews>
  <sheetFormatPr defaultRowHeight="12.75" x14ac:dyDescent="0.2"/>
  <cols>
    <col min="1" max="1" width="18.5703125" bestFit="1" customWidth="1"/>
    <col min="2" max="2" width="14.42578125" customWidth="1"/>
  </cols>
  <sheetData>
    <row r="1" spans="1:5" x14ac:dyDescent="0.2">
      <c r="A1" s="1" t="s">
        <v>53</v>
      </c>
      <c r="B1" s="1" t="s">
        <v>54</v>
      </c>
      <c r="C1" s="14"/>
      <c r="D1" s="1" t="s">
        <v>71</v>
      </c>
      <c r="E1" s="14"/>
    </row>
    <row r="2" spans="1:5" x14ac:dyDescent="0.2">
      <c r="A2" t="s">
        <v>55</v>
      </c>
      <c r="B2">
        <v>1.179</v>
      </c>
      <c r="C2" t="s">
        <v>57</v>
      </c>
    </row>
    <row r="3" spans="1:5" x14ac:dyDescent="0.2">
      <c r="A3" t="s">
        <v>56</v>
      </c>
      <c r="B3">
        <v>3.25</v>
      </c>
      <c r="C3" t="s">
        <v>57</v>
      </c>
    </row>
    <row r="4" spans="1:5" x14ac:dyDescent="0.2">
      <c r="A4" t="s">
        <v>59</v>
      </c>
      <c r="B4">
        <f>B2/2-0.315</f>
        <v>0.27450000000000002</v>
      </c>
    </row>
    <row r="5" spans="1:5" x14ac:dyDescent="0.2">
      <c r="A5" t="s">
        <v>58</v>
      </c>
      <c r="B5">
        <f>(B3-2.972)/2</f>
        <v>0.13900000000000001</v>
      </c>
      <c r="C5" s="11" t="s">
        <v>60</v>
      </c>
    </row>
    <row r="6" spans="1:5" x14ac:dyDescent="0.2">
      <c r="A6" t="s">
        <v>61</v>
      </c>
      <c r="B6">
        <f>B4</f>
        <v>0.27450000000000002</v>
      </c>
    </row>
    <row r="7" spans="1:5" x14ac:dyDescent="0.2">
      <c r="A7" t="s">
        <v>62</v>
      </c>
      <c r="B7">
        <f>B5+2.972</f>
        <v>3.1109999999999998</v>
      </c>
    </row>
    <row r="8" spans="1:5" x14ac:dyDescent="0.2">
      <c r="A8" t="s">
        <v>63</v>
      </c>
      <c r="B8">
        <f>B4+0.6299</f>
        <v>0.90440000000000009</v>
      </c>
    </row>
    <row r="9" spans="1:5" x14ac:dyDescent="0.2">
      <c r="A9" t="s">
        <v>64</v>
      </c>
      <c r="B9">
        <f>B7</f>
        <v>3.1109999999999998</v>
      </c>
    </row>
    <row r="10" spans="1:5" x14ac:dyDescent="0.2">
      <c r="A10" t="s">
        <v>65</v>
      </c>
      <c r="B10">
        <f>B8</f>
        <v>0.90440000000000009</v>
      </c>
    </row>
    <row r="11" spans="1:5" x14ac:dyDescent="0.2">
      <c r="A11" t="s">
        <v>66</v>
      </c>
      <c r="B11">
        <f>B5</f>
        <v>0.13900000000000001</v>
      </c>
    </row>
    <row r="12" spans="1:5" x14ac:dyDescent="0.2">
      <c r="A12" t="s">
        <v>67</v>
      </c>
      <c r="B12">
        <f>B2/2-0.646</f>
        <v>-5.6499999999999995E-2</v>
      </c>
    </row>
    <row r="13" spans="1:5" x14ac:dyDescent="0.2">
      <c r="A13" t="s">
        <v>68</v>
      </c>
      <c r="B13">
        <v>2.3250000000000002</v>
      </c>
    </row>
    <row r="14" spans="1:5" x14ac:dyDescent="0.2">
      <c r="A14" t="s">
        <v>69</v>
      </c>
      <c r="B14">
        <f>B2/2+0.648</f>
        <v>1.2375</v>
      </c>
    </row>
    <row r="15" spans="1:5" x14ac:dyDescent="0.2">
      <c r="A15" t="s">
        <v>70</v>
      </c>
      <c r="B15">
        <f>B13</f>
        <v>2.3250000000000002</v>
      </c>
    </row>
  </sheetData>
  <phoneticPr fontId="3" type="noConversion"/>
  <pageMargins left="0.75" right="0.75" top="1" bottom="1" header="0.5" footer="0.5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E64"/>
  <sheetViews>
    <sheetView workbookViewId="0">
      <selection activeCell="A2" sqref="A2"/>
    </sheetView>
  </sheetViews>
  <sheetFormatPr defaultRowHeight="12.75" x14ac:dyDescent="0.2"/>
  <cols>
    <col min="1" max="1" width="26.140625" bestFit="1" customWidth="1"/>
    <col min="2" max="2" width="14" bestFit="1" customWidth="1"/>
    <col min="3" max="3" width="11.5703125" style="4" bestFit="1" customWidth="1"/>
    <col min="4" max="4" width="6" customWidth="1"/>
    <col min="5" max="5" width="42.7109375" bestFit="1" customWidth="1"/>
  </cols>
  <sheetData>
    <row r="1" spans="1:5" x14ac:dyDescent="0.2">
      <c r="A1" s="1" t="s">
        <v>1</v>
      </c>
      <c r="B1" s="1" t="s">
        <v>2</v>
      </c>
      <c r="C1" s="3" t="s">
        <v>3</v>
      </c>
      <c r="E1" s="3" t="s">
        <v>50</v>
      </c>
    </row>
    <row r="2" spans="1:5" x14ac:dyDescent="0.2">
      <c r="A2" t="s">
        <v>72</v>
      </c>
      <c r="B2">
        <v>80</v>
      </c>
      <c r="C2" s="4" t="s">
        <v>73</v>
      </c>
      <c r="E2" t="s">
        <v>74</v>
      </c>
    </row>
    <row r="4" spans="1:5" x14ac:dyDescent="0.2">
      <c r="A4" t="s">
        <v>75</v>
      </c>
      <c r="B4">
        <v>2</v>
      </c>
      <c r="C4" s="4" t="s">
        <v>35</v>
      </c>
    </row>
    <row r="6" spans="1:5" x14ac:dyDescent="0.2">
      <c r="A6" t="s">
        <v>76</v>
      </c>
      <c r="B6">
        <f>8+0.75*B2</f>
        <v>68</v>
      </c>
      <c r="C6" s="4" t="s">
        <v>35</v>
      </c>
      <c r="E6" t="s">
        <v>168</v>
      </c>
    </row>
    <row r="7" spans="1:5" x14ac:dyDescent="0.2">
      <c r="A7" t="s">
        <v>77</v>
      </c>
      <c r="B7">
        <v>0.5</v>
      </c>
      <c r="C7" s="4" t="s">
        <v>35</v>
      </c>
      <c r="E7" t="s">
        <v>78</v>
      </c>
    </row>
    <row r="8" spans="1:5" x14ac:dyDescent="0.2">
      <c r="A8" t="s">
        <v>79</v>
      </c>
      <c r="B8">
        <v>70</v>
      </c>
      <c r="C8" s="4" t="s">
        <v>35</v>
      </c>
      <c r="E8" t="s">
        <v>80</v>
      </c>
    </row>
    <row r="9" spans="1:5" x14ac:dyDescent="0.2">
      <c r="A9" t="s">
        <v>81</v>
      </c>
      <c r="B9">
        <v>0.5</v>
      </c>
      <c r="C9" s="4" t="s">
        <v>35</v>
      </c>
      <c r="E9" t="s">
        <v>165</v>
      </c>
    </row>
    <row r="10" spans="1:5" x14ac:dyDescent="0.2">
      <c r="A10" t="s">
        <v>167</v>
      </c>
      <c r="B10">
        <v>2</v>
      </c>
      <c r="C10" s="4" t="s">
        <v>35</v>
      </c>
    </row>
    <row r="11" spans="1:5" x14ac:dyDescent="0.2">
      <c r="A11" s="16" t="s">
        <v>164</v>
      </c>
      <c r="B11">
        <f>SUM(B6:B10)</f>
        <v>141</v>
      </c>
      <c r="C11" s="4" t="s">
        <v>35</v>
      </c>
    </row>
    <row r="15" spans="1:5" x14ac:dyDescent="0.2">
      <c r="A15" s="1" t="s">
        <v>82</v>
      </c>
      <c r="B15" s="1"/>
      <c r="C15" s="1"/>
      <c r="D15" s="1"/>
      <c r="E15" s="13" t="s">
        <v>92</v>
      </c>
    </row>
    <row r="16" spans="1:5" x14ac:dyDescent="0.2">
      <c r="A16" t="s">
        <v>84</v>
      </c>
      <c r="B16">
        <v>24</v>
      </c>
      <c r="C16" s="4" t="s">
        <v>4</v>
      </c>
      <c r="E16" t="s">
        <v>85</v>
      </c>
    </row>
    <row r="17" spans="1:5" x14ac:dyDescent="0.2">
      <c r="A17" t="s">
        <v>83</v>
      </c>
      <c r="B17" s="2">
        <f>1000*B16/118000</f>
        <v>0.20338983050847459</v>
      </c>
      <c r="C17" s="4" t="s">
        <v>35</v>
      </c>
      <c r="E17" t="s">
        <v>86</v>
      </c>
    </row>
    <row r="18" spans="1:5" x14ac:dyDescent="0.2">
      <c r="A18" t="s">
        <v>87</v>
      </c>
      <c r="B18">
        <v>1.2E-2</v>
      </c>
      <c r="C18" s="4" t="s">
        <v>35</v>
      </c>
      <c r="E18" t="s">
        <v>90</v>
      </c>
    </row>
    <row r="19" spans="1:5" x14ac:dyDescent="0.2">
      <c r="A19" t="s">
        <v>88</v>
      </c>
      <c r="B19">
        <v>2.5000000000000001E-2</v>
      </c>
      <c r="C19" s="4" t="s">
        <v>35</v>
      </c>
    </row>
    <row r="20" spans="1:5" x14ac:dyDescent="0.2">
      <c r="A20" t="s">
        <v>89</v>
      </c>
    </row>
    <row r="21" spans="1:5" x14ac:dyDescent="0.2">
      <c r="A21" t="s">
        <v>91</v>
      </c>
    </row>
    <row r="28" spans="1:5" x14ac:dyDescent="0.2">
      <c r="B28" s="2"/>
    </row>
    <row r="29" spans="1:5" x14ac:dyDescent="0.2">
      <c r="B29" s="7"/>
      <c r="C29" s="8"/>
    </row>
    <row r="30" spans="1:5" x14ac:dyDescent="0.2">
      <c r="B30" s="7"/>
      <c r="C30" s="8"/>
    </row>
    <row r="31" spans="1:5" x14ac:dyDescent="0.2">
      <c r="B31" s="7"/>
      <c r="C31" s="8"/>
    </row>
    <row r="32" spans="1:5" x14ac:dyDescent="0.2">
      <c r="B32" s="7"/>
      <c r="C32" s="8"/>
    </row>
    <row r="33" spans="2:3" x14ac:dyDescent="0.2">
      <c r="B33" s="7"/>
      <c r="C33" s="8"/>
    </row>
    <row r="34" spans="2:3" x14ac:dyDescent="0.2">
      <c r="B34" s="7"/>
      <c r="C34" s="8"/>
    </row>
    <row r="35" spans="2:3" x14ac:dyDescent="0.2">
      <c r="B35" s="7"/>
      <c r="C35" s="8"/>
    </row>
    <row r="36" spans="2:3" x14ac:dyDescent="0.2">
      <c r="B36" s="7"/>
      <c r="C36" s="8"/>
    </row>
    <row r="37" spans="2:3" x14ac:dyDescent="0.2">
      <c r="B37" s="7"/>
      <c r="C37" s="8"/>
    </row>
    <row r="38" spans="2:3" x14ac:dyDescent="0.2">
      <c r="B38" s="7"/>
      <c r="C38" s="8"/>
    </row>
    <row r="39" spans="2:3" x14ac:dyDescent="0.2">
      <c r="B39" s="7"/>
      <c r="C39" s="8"/>
    </row>
    <row r="40" spans="2:3" x14ac:dyDescent="0.2">
      <c r="B40" s="7"/>
      <c r="C40" s="8"/>
    </row>
    <row r="41" spans="2:3" x14ac:dyDescent="0.2">
      <c r="B41" s="7"/>
      <c r="C41" s="8"/>
    </row>
    <row r="42" spans="2:3" x14ac:dyDescent="0.2">
      <c r="B42" s="7"/>
      <c r="C42" s="8"/>
    </row>
    <row r="43" spans="2:3" x14ac:dyDescent="0.2">
      <c r="B43" s="7"/>
      <c r="C43" s="8"/>
    </row>
    <row r="44" spans="2:3" x14ac:dyDescent="0.2">
      <c r="B44" s="7"/>
      <c r="C44" s="8"/>
    </row>
    <row r="45" spans="2:3" x14ac:dyDescent="0.2">
      <c r="B45" s="7"/>
      <c r="C45" s="8"/>
    </row>
    <row r="46" spans="2:3" x14ac:dyDescent="0.2">
      <c r="B46" s="7"/>
      <c r="C46" s="8"/>
    </row>
    <row r="47" spans="2:3" x14ac:dyDescent="0.2">
      <c r="B47" s="7"/>
      <c r="C47" s="8"/>
    </row>
    <row r="48" spans="2:3" x14ac:dyDescent="0.2">
      <c r="B48" s="7"/>
      <c r="C48" s="8"/>
    </row>
    <row r="49" spans="2:3" x14ac:dyDescent="0.2">
      <c r="B49" s="7"/>
      <c r="C49" s="8"/>
    </row>
    <row r="50" spans="2:3" x14ac:dyDescent="0.2">
      <c r="B50" s="7"/>
      <c r="C50" s="8"/>
    </row>
    <row r="51" spans="2:3" x14ac:dyDescent="0.2">
      <c r="B51" s="7"/>
      <c r="C51" s="8"/>
    </row>
    <row r="52" spans="2:3" x14ac:dyDescent="0.2">
      <c r="B52" s="7"/>
      <c r="C52" s="8"/>
    </row>
    <row r="53" spans="2:3" x14ac:dyDescent="0.2">
      <c r="B53" s="7"/>
      <c r="C53" s="8"/>
    </row>
    <row r="54" spans="2:3" x14ac:dyDescent="0.2">
      <c r="B54" s="7"/>
      <c r="C54" s="8"/>
    </row>
    <row r="55" spans="2:3" x14ac:dyDescent="0.2">
      <c r="B55" s="7"/>
      <c r="C55" s="8"/>
    </row>
    <row r="56" spans="2:3" x14ac:dyDescent="0.2">
      <c r="B56" s="7"/>
      <c r="C56" s="8"/>
    </row>
    <row r="57" spans="2:3" x14ac:dyDescent="0.2">
      <c r="B57" s="7"/>
      <c r="C57" s="8"/>
    </row>
    <row r="58" spans="2:3" x14ac:dyDescent="0.2">
      <c r="B58" s="7"/>
      <c r="C58" s="8"/>
    </row>
    <row r="59" spans="2:3" x14ac:dyDescent="0.2">
      <c r="B59" s="7"/>
      <c r="C59" s="8"/>
    </row>
    <row r="60" spans="2:3" x14ac:dyDescent="0.2">
      <c r="B60" s="7"/>
      <c r="C60" s="8"/>
    </row>
    <row r="61" spans="2:3" x14ac:dyDescent="0.2">
      <c r="B61" s="7"/>
      <c r="C61" s="8"/>
    </row>
    <row r="62" spans="2:3" x14ac:dyDescent="0.2">
      <c r="B62" s="7"/>
      <c r="C62" s="8"/>
    </row>
    <row r="63" spans="2:3" x14ac:dyDescent="0.2">
      <c r="B63" s="7"/>
      <c r="C63" s="8"/>
    </row>
    <row r="64" spans="2:3" x14ac:dyDescent="0.2">
      <c r="B64" s="7"/>
      <c r="C64" s="8"/>
    </row>
  </sheetData>
  <phoneticPr fontId="3" type="noConversion"/>
  <pageMargins left="0.75" right="0.75" top="1" bottom="1" header="0.5" footer="0.5"/>
  <pageSetup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E63"/>
  <sheetViews>
    <sheetView workbookViewId="0">
      <selection activeCell="A24" sqref="A24"/>
    </sheetView>
  </sheetViews>
  <sheetFormatPr defaultRowHeight="12.75" x14ac:dyDescent="0.2"/>
  <cols>
    <col min="1" max="1" width="26.140625" bestFit="1" customWidth="1"/>
    <col min="2" max="2" width="14" bestFit="1" customWidth="1"/>
    <col min="3" max="3" width="11.5703125" style="4" bestFit="1" customWidth="1"/>
    <col min="5" max="5" width="42.7109375" bestFit="1" customWidth="1"/>
  </cols>
  <sheetData>
    <row r="1" spans="1:5" x14ac:dyDescent="0.2">
      <c r="A1" s="1" t="s">
        <v>1</v>
      </c>
      <c r="B1" s="1" t="s">
        <v>2</v>
      </c>
      <c r="C1" s="3" t="s">
        <v>3</v>
      </c>
      <c r="E1" s="3" t="s">
        <v>50</v>
      </c>
    </row>
    <row r="2" spans="1:5" x14ac:dyDescent="0.2">
      <c r="A2" t="s">
        <v>26</v>
      </c>
      <c r="B2">
        <v>3.3</v>
      </c>
      <c r="C2" s="4" t="s">
        <v>4</v>
      </c>
      <c r="E2" t="s">
        <v>49</v>
      </c>
    </row>
    <row r="4" spans="1:5" x14ac:dyDescent="0.2">
      <c r="A4" t="s">
        <v>44</v>
      </c>
      <c r="B4">
        <v>9</v>
      </c>
      <c r="C4" s="4" t="s">
        <v>4</v>
      </c>
    </row>
    <row r="5" spans="1:5" x14ac:dyDescent="0.2">
      <c r="A5" t="s">
        <v>46</v>
      </c>
      <c r="B5">
        <v>24</v>
      </c>
      <c r="C5" s="4" t="s">
        <v>4</v>
      </c>
    </row>
    <row r="6" spans="1:5" x14ac:dyDescent="0.2">
      <c r="A6" t="s">
        <v>45</v>
      </c>
      <c r="B6">
        <v>36</v>
      </c>
      <c r="C6" s="4" t="s">
        <v>4</v>
      </c>
    </row>
    <row r="8" spans="1:5" x14ac:dyDescent="0.2">
      <c r="A8" t="s">
        <v>52</v>
      </c>
      <c r="B8">
        <v>0.5</v>
      </c>
      <c r="C8" s="4" t="s">
        <v>35</v>
      </c>
    </row>
    <row r="9" spans="1:5" x14ac:dyDescent="0.2">
      <c r="A9" t="s">
        <v>47</v>
      </c>
      <c r="B9">
        <v>20</v>
      </c>
      <c r="C9" s="4" t="s">
        <v>35</v>
      </c>
    </row>
    <row r="10" spans="1:5" x14ac:dyDescent="0.2">
      <c r="A10" t="s">
        <v>48</v>
      </c>
      <c r="B10">
        <v>50</v>
      </c>
      <c r="C10" s="4" t="s">
        <v>35</v>
      </c>
      <c r="E10" t="s">
        <v>166</v>
      </c>
    </row>
    <row r="12" spans="1:5" x14ac:dyDescent="0.2">
      <c r="A12" t="s">
        <v>27</v>
      </c>
      <c r="B12">
        <v>3</v>
      </c>
      <c r="C12" s="4" t="s">
        <v>4</v>
      </c>
    </row>
    <row r="13" spans="1:5" x14ac:dyDescent="0.2">
      <c r="A13" t="s">
        <v>28</v>
      </c>
      <c r="B13">
        <f>1000*0.0000003</f>
        <v>2.9999999999999997E-4</v>
      </c>
      <c r="C13" s="4" t="s">
        <v>35</v>
      </c>
    </row>
    <row r="14" spans="1:5" x14ac:dyDescent="0.2">
      <c r="A14" t="s">
        <v>31</v>
      </c>
      <c r="B14">
        <v>18000</v>
      </c>
      <c r="C14" s="4" t="s">
        <v>12</v>
      </c>
    </row>
    <row r="15" spans="1:5" x14ac:dyDescent="0.2">
      <c r="A15" t="s">
        <v>36</v>
      </c>
      <c r="B15">
        <v>100000</v>
      </c>
      <c r="C15" s="4" t="s">
        <v>12</v>
      </c>
    </row>
    <row r="16" spans="1:5" x14ac:dyDescent="0.2">
      <c r="A16" t="s">
        <v>32</v>
      </c>
      <c r="B16">
        <v>0.6</v>
      </c>
      <c r="C16" s="4" t="s">
        <v>4</v>
      </c>
    </row>
    <row r="17" spans="1:5" x14ac:dyDescent="0.2">
      <c r="A17" t="s">
        <v>39</v>
      </c>
      <c r="B17">
        <v>4.8</v>
      </c>
      <c r="C17" s="4" t="s">
        <v>4</v>
      </c>
      <c r="E17" t="s">
        <v>42</v>
      </c>
    </row>
    <row r="18" spans="1:5" x14ac:dyDescent="0.2">
      <c r="A18" t="s">
        <v>33</v>
      </c>
      <c r="B18">
        <v>40</v>
      </c>
      <c r="C18" s="4" t="s">
        <v>4</v>
      </c>
      <c r="E18" t="s">
        <v>43</v>
      </c>
    </row>
    <row r="20" spans="1:5" x14ac:dyDescent="0.2">
      <c r="A20" t="s">
        <v>169</v>
      </c>
      <c r="B20">
        <f>(B4-$B$2)*B8</f>
        <v>2.85</v>
      </c>
      <c r="C20" s="4" t="s">
        <v>51</v>
      </c>
    </row>
    <row r="21" spans="1:5" x14ac:dyDescent="0.2">
      <c r="A21" t="s">
        <v>170</v>
      </c>
      <c r="B21">
        <f>(B5-$B$2)*B9</f>
        <v>414</v>
      </c>
      <c r="C21" s="4" t="s">
        <v>51</v>
      </c>
    </row>
    <row r="22" spans="1:5" x14ac:dyDescent="0.2">
      <c r="A22" s="9" t="s">
        <v>171</v>
      </c>
      <c r="B22" s="9">
        <f>(B6-$B$2)*B10</f>
        <v>1635.0000000000002</v>
      </c>
      <c r="C22" s="10" t="s">
        <v>51</v>
      </c>
      <c r="D22" s="9"/>
      <c r="E22" s="9" t="s">
        <v>172</v>
      </c>
    </row>
    <row r="24" spans="1:5" x14ac:dyDescent="0.2">
      <c r="A24" t="s">
        <v>29</v>
      </c>
      <c r="B24" s="6">
        <f>5/B13</f>
        <v>16666.666666666668</v>
      </c>
      <c r="C24" s="4" t="s">
        <v>30</v>
      </c>
    </row>
    <row r="25" spans="1:5" x14ac:dyDescent="0.2">
      <c r="A25" t="s">
        <v>34</v>
      </c>
      <c r="B25" s="7">
        <f>1000*(B18-B17-B16)/B14</f>
        <v>1.9222222222222223</v>
      </c>
      <c r="C25" s="4" t="s">
        <v>35</v>
      </c>
    </row>
    <row r="26" spans="1:5" x14ac:dyDescent="0.2">
      <c r="B26" s="2"/>
    </row>
    <row r="27" spans="1:5" x14ac:dyDescent="0.2">
      <c r="A27" t="s">
        <v>37</v>
      </c>
      <c r="B27" s="2" t="s">
        <v>41</v>
      </c>
      <c r="C27" s="4" t="s">
        <v>40</v>
      </c>
      <c r="D27" t="s">
        <v>38</v>
      </c>
    </row>
    <row r="28" spans="1:5" x14ac:dyDescent="0.2">
      <c r="A28">
        <v>0</v>
      </c>
      <c r="B28" s="7">
        <f>IF($B$17&lt;D28,$B$17,D28)</f>
        <v>0</v>
      </c>
      <c r="C28" s="8">
        <f>1000*(A28-B28)/B$14</f>
        <v>0</v>
      </c>
      <c r="D28">
        <f>A28*B$15/(B$14+B$15)</f>
        <v>0</v>
      </c>
    </row>
    <row r="29" spans="1:5" x14ac:dyDescent="0.2">
      <c r="A29">
        <v>0.5</v>
      </c>
      <c r="B29" s="7">
        <f t="shared" ref="B29:B63" si="0">IF($B$17&lt;D29,$B$17,D29)</f>
        <v>0.42372881355932202</v>
      </c>
      <c r="C29" s="8">
        <f t="shared" ref="C29:C63" si="1">1000*(A29-B29)/B$14</f>
        <v>4.2372881355932212E-3</v>
      </c>
      <c r="D29">
        <f t="shared" ref="D29:D63" si="2">A29*B$15/(B$14+B$15)</f>
        <v>0.42372881355932202</v>
      </c>
    </row>
    <row r="30" spans="1:5" x14ac:dyDescent="0.2">
      <c r="A30">
        <v>1</v>
      </c>
      <c r="B30" s="7">
        <f t="shared" si="0"/>
        <v>0.84745762711864403</v>
      </c>
      <c r="C30" s="8">
        <f t="shared" si="1"/>
        <v>8.4745762711864424E-3</v>
      </c>
      <c r="D30">
        <f t="shared" si="2"/>
        <v>0.84745762711864403</v>
      </c>
    </row>
    <row r="31" spans="1:5" x14ac:dyDescent="0.2">
      <c r="A31">
        <v>1.5</v>
      </c>
      <c r="B31" s="7">
        <f t="shared" si="0"/>
        <v>1.271186440677966</v>
      </c>
      <c r="C31" s="8">
        <f t="shared" si="1"/>
        <v>1.2711864406779665E-2</v>
      </c>
      <c r="D31">
        <f t="shared" si="2"/>
        <v>1.271186440677966</v>
      </c>
    </row>
    <row r="32" spans="1:5" x14ac:dyDescent="0.2">
      <c r="A32">
        <v>2</v>
      </c>
      <c r="B32" s="7">
        <f t="shared" si="0"/>
        <v>1.6949152542372881</v>
      </c>
      <c r="C32" s="8">
        <f t="shared" si="1"/>
        <v>1.6949152542372885E-2</v>
      </c>
      <c r="D32">
        <f t="shared" si="2"/>
        <v>1.6949152542372881</v>
      </c>
    </row>
    <row r="33" spans="1:4" x14ac:dyDescent="0.2">
      <c r="A33">
        <v>2.5</v>
      </c>
      <c r="B33" s="7">
        <f t="shared" si="0"/>
        <v>2.1186440677966103</v>
      </c>
      <c r="C33" s="8">
        <f t="shared" si="1"/>
        <v>2.1186440677966097E-2</v>
      </c>
      <c r="D33">
        <f t="shared" si="2"/>
        <v>2.1186440677966103</v>
      </c>
    </row>
    <row r="34" spans="1:4" x14ac:dyDescent="0.2">
      <c r="A34">
        <v>3</v>
      </c>
      <c r="B34" s="7">
        <f t="shared" si="0"/>
        <v>2.5423728813559321</v>
      </c>
      <c r="C34" s="8">
        <f t="shared" si="1"/>
        <v>2.5423728813559331E-2</v>
      </c>
      <c r="D34">
        <f t="shared" si="2"/>
        <v>2.5423728813559321</v>
      </c>
    </row>
    <row r="35" spans="1:4" x14ac:dyDescent="0.2">
      <c r="A35">
        <v>3.5</v>
      </c>
      <c r="B35" s="7">
        <f t="shared" si="0"/>
        <v>2.9661016949152543</v>
      </c>
      <c r="C35" s="8">
        <f t="shared" si="1"/>
        <v>2.9661016949152536E-2</v>
      </c>
      <c r="D35">
        <f t="shared" si="2"/>
        <v>2.9661016949152543</v>
      </c>
    </row>
    <row r="36" spans="1:4" x14ac:dyDescent="0.2">
      <c r="A36">
        <v>4</v>
      </c>
      <c r="B36" s="7">
        <f t="shared" si="0"/>
        <v>3.3898305084745761</v>
      </c>
      <c r="C36" s="8">
        <f t="shared" si="1"/>
        <v>3.389830508474577E-2</v>
      </c>
      <c r="D36">
        <f t="shared" si="2"/>
        <v>3.3898305084745761</v>
      </c>
    </row>
    <row r="37" spans="1:4" x14ac:dyDescent="0.2">
      <c r="A37">
        <v>4.5</v>
      </c>
      <c r="B37" s="7">
        <f t="shared" si="0"/>
        <v>3.8135593220338984</v>
      </c>
      <c r="C37" s="8">
        <f t="shared" si="1"/>
        <v>3.8135593220338979E-2</v>
      </c>
      <c r="D37">
        <f t="shared" si="2"/>
        <v>3.8135593220338984</v>
      </c>
    </row>
    <row r="38" spans="1:4" x14ac:dyDescent="0.2">
      <c r="A38">
        <v>5</v>
      </c>
      <c r="B38" s="7">
        <f t="shared" si="0"/>
        <v>4.2372881355932206</v>
      </c>
      <c r="C38" s="8">
        <f t="shared" si="1"/>
        <v>4.2372881355932195E-2</v>
      </c>
      <c r="D38">
        <f t="shared" si="2"/>
        <v>4.2372881355932206</v>
      </c>
    </row>
    <row r="39" spans="1:4" x14ac:dyDescent="0.2">
      <c r="A39">
        <v>5.5</v>
      </c>
      <c r="B39" s="7">
        <f t="shared" si="0"/>
        <v>4.6610169491525424</v>
      </c>
      <c r="C39" s="8">
        <f t="shared" si="1"/>
        <v>4.6610169491525424E-2</v>
      </c>
      <c r="D39">
        <f t="shared" si="2"/>
        <v>4.6610169491525424</v>
      </c>
    </row>
    <row r="40" spans="1:4" x14ac:dyDescent="0.2">
      <c r="A40">
        <v>6</v>
      </c>
      <c r="B40" s="7">
        <f t="shared" si="0"/>
        <v>4.8</v>
      </c>
      <c r="C40" s="8">
        <f t="shared" si="1"/>
        <v>6.666666666666668E-2</v>
      </c>
      <c r="D40">
        <f t="shared" si="2"/>
        <v>5.0847457627118642</v>
      </c>
    </row>
    <row r="41" spans="1:4" x14ac:dyDescent="0.2">
      <c r="A41">
        <v>6.5</v>
      </c>
      <c r="B41" s="7">
        <f t="shared" si="0"/>
        <v>4.8</v>
      </c>
      <c r="C41" s="8">
        <f t="shared" si="1"/>
        <v>9.4444444444444456E-2</v>
      </c>
      <c r="D41">
        <f t="shared" si="2"/>
        <v>5.5084745762711869</v>
      </c>
    </row>
    <row r="42" spans="1:4" x14ac:dyDescent="0.2">
      <c r="A42">
        <v>7</v>
      </c>
      <c r="B42" s="7">
        <f t="shared" si="0"/>
        <v>4.8</v>
      </c>
      <c r="C42" s="8">
        <f t="shared" si="1"/>
        <v>0.12222222222222222</v>
      </c>
      <c r="D42">
        <f t="shared" si="2"/>
        <v>5.9322033898305087</v>
      </c>
    </row>
    <row r="43" spans="1:4" x14ac:dyDescent="0.2">
      <c r="A43">
        <v>7.5</v>
      </c>
      <c r="B43" s="7">
        <f t="shared" si="0"/>
        <v>4.8</v>
      </c>
      <c r="C43" s="8">
        <f t="shared" si="1"/>
        <v>0.15</v>
      </c>
      <c r="D43">
        <f t="shared" si="2"/>
        <v>6.3559322033898304</v>
      </c>
    </row>
    <row r="44" spans="1:4" x14ac:dyDescent="0.2">
      <c r="A44">
        <v>8</v>
      </c>
      <c r="B44" s="7">
        <f t="shared" si="0"/>
        <v>4.8</v>
      </c>
      <c r="C44" s="8">
        <f t="shared" si="1"/>
        <v>0.17777777777777778</v>
      </c>
      <c r="D44">
        <f t="shared" si="2"/>
        <v>6.7796610169491522</v>
      </c>
    </row>
    <row r="45" spans="1:4" x14ac:dyDescent="0.2">
      <c r="A45">
        <v>8.5</v>
      </c>
      <c r="B45" s="7">
        <f t="shared" si="0"/>
        <v>4.8</v>
      </c>
      <c r="C45" s="8">
        <f t="shared" si="1"/>
        <v>0.20555555555555555</v>
      </c>
      <c r="D45">
        <f t="shared" si="2"/>
        <v>7.2033898305084749</v>
      </c>
    </row>
    <row r="46" spans="1:4" x14ac:dyDescent="0.2">
      <c r="A46">
        <v>9</v>
      </c>
      <c r="B46" s="7">
        <f t="shared" si="0"/>
        <v>4.8</v>
      </c>
      <c r="C46" s="8">
        <f t="shared" si="1"/>
        <v>0.23333333333333334</v>
      </c>
      <c r="D46">
        <f t="shared" si="2"/>
        <v>7.6271186440677967</v>
      </c>
    </row>
    <row r="47" spans="1:4" x14ac:dyDescent="0.2">
      <c r="A47">
        <v>10</v>
      </c>
      <c r="B47" s="7">
        <f t="shared" si="0"/>
        <v>4.8</v>
      </c>
      <c r="C47" s="8">
        <f t="shared" si="1"/>
        <v>0.28888888888888886</v>
      </c>
      <c r="D47">
        <f t="shared" si="2"/>
        <v>8.4745762711864412</v>
      </c>
    </row>
    <row r="48" spans="1:4" x14ac:dyDescent="0.2">
      <c r="A48">
        <v>12</v>
      </c>
      <c r="B48" s="7">
        <f t="shared" si="0"/>
        <v>4.8</v>
      </c>
      <c r="C48" s="8">
        <f t="shared" si="1"/>
        <v>0.4</v>
      </c>
      <c r="D48">
        <f t="shared" si="2"/>
        <v>10.169491525423728</v>
      </c>
    </row>
    <row r="49" spans="1:4" x14ac:dyDescent="0.2">
      <c r="A49">
        <v>14</v>
      </c>
      <c r="B49" s="7">
        <f t="shared" si="0"/>
        <v>4.8</v>
      </c>
      <c r="C49" s="8">
        <f t="shared" si="1"/>
        <v>0.51111111111111107</v>
      </c>
      <c r="D49">
        <f t="shared" si="2"/>
        <v>11.864406779661017</v>
      </c>
    </row>
    <row r="50" spans="1:4" x14ac:dyDescent="0.2">
      <c r="A50">
        <v>16</v>
      </c>
      <c r="B50" s="7">
        <f t="shared" si="0"/>
        <v>4.8</v>
      </c>
      <c r="C50" s="8">
        <f t="shared" si="1"/>
        <v>0.62222222222222223</v>
      </c>
      <c r="D50">
        <f t="shared" si="2"/>
        <v>13.559322033898304</v>
      </c>
    </row>
    <row r="51" spans="1:4" x14ac:dyDescent="0.2">
      <c r="A51">
        <v>18</v>
      </c>
      <c r="B51" s="7">
        <f t="shared" si="0"/>
        <v>4.8</v>
      </c>
      <c r="C51" s="8">
        <f t="shared" si="1"/>
        <v>0.73333333333333328</v>
      </c>
      <c r="D51">
        <f t="shared" si="2"/>
        <v>15.254237288135593</v>
      </c>
    </row>
    <row r="52" spans="1:4" x14ac:dyDescent="0.2">
      <c r="A52">
        <v>20</v>
      </c>
      <c r="B52" s="7">
        <f t="shared" si="0"/>
        <v>4.8</v>
      </c>
      <c r="C52" s="8">
        <f t="shared" si="1"/>
        <v>0.84444444444444444</v>
      </c>
      <c r="D52">
        <f t="shared" si="2"/>
        <v>16.949152542372882</v>
      </c>
    </row>
    <row r="53" spans="1:4" x14ac:dyDescent="0.2">
      <c r="A53">
        <v>22</v>
      </c>
      <c r="B53" s="7">
        <f t="shared" si="0"/>
        <v>4.8</v>
      </c>
      <c r="C53" s="8">
        <f t="shared" si="1"/>
        <v>0.9555555555555556</v>
      </c>
      <c r="D53">
        <f t="shared" si="2"/>
        <v>18.64406779661017</v>
      </c>
    </row>
    <row r="54" spans="1:4" x14ac:dyDescent="0.2">
      <c r="A54">
        <v>24</v>
      </c>
      <c r="B54" s="7">
        <f t="shared" si="0"/>
        <v>4.8</v>
      </c>
      <c r="C54" s="8">
        <f t="shared" si="1"/>
        <v>1.0666666666666667</v>
      </c>
      <c r="D54">
        <f t="shared" si="2"/>
        <v>20.338983050847457</v>
      </c>
    </row>
    <row r="55" spans="1:4" x14ac:dyDescent="0.2">
      <c r="A55">
        <v>26</v>
      </c>
      <c r="B55" s="7">
        <f t="shared" si="0"/>
        <v>4.8</v>
      </c>
      <c r="C55" s="8">
        <f t="shared" si="1"/>
        <v>1.1777777777777778</v>
      </c>
      <c r="D55">
        <f t="shared" si="2"/>
        <v>22.033898305084747</v>
      </c>
    </row>
    <row r="56" spans="1:4" x14ac:dyDescent="0.2">
      <c r="A56">
        <v>28</v>
      </c>
      <c r="B56" s="7">
        <f t="shared" si="0"/>
        <v>4.8</v>
      </c>
      <c r="C56" s="8">
        <f t="shared" si="1"/>
        <v>1.288888888888889</v>
      </c>
      <c r="D56">
        <f t="shared" si="2"/>
        <v>23.728813559322035</v>
      </c>
    </row>
    <row r="57" spans="1:4" x14ac:dyDescent="0.2">
      <c r="A57">
        <v>30</v>
      </c>
      <c r="B57" s="7">
        <f t="shared" si="0"/>
        <v>4.8</v>
      </c>
      <c r="C57" s="8">
        <f t="shared" si="1"/>
        <v>1.4</v>
      </c>
      <c r="D57">
        <f t="shared" si="2"/>
        <v>25.423728813559322</v>
      </c>
    </row>
    <row r="58" spans="1:4" x14ac:dyDescent="0.2">
      <c r="A58">
        <v>32</v>
      </c>
      <c r="B58" s="7">
        <f t="shared" si="0"/>
        <v>4.8</v>
      </c>
      <c r="C58" s="8">
        <f t="shared" si="1"/>
        <v>1.5111111111111111</v>
      </c>
      <c r="D58">
        <f t="shared" si="2"/>
        <v>27.118644067796609</v>
      </c>
    </row>
    <row r="59" spans="1:4" x14ac:dyDescent="0.2">
      <c r="A59">
        <v>34</v>
      </c>
      <c r="B59" s="7">
        <f t="shared" si="0"/>
        <v>4.8</v>
      </c>
      <c r="C59" s="8">
        <f t="shared" si="1"/>
        <v>1.6222222222222222</v>
      </c>
      <c r="D59">
        <f t="shared" si="2"/>
        <v>28.8135593220339</v>
      </c>
    </row>
    <row r="60" spans="1:4" x14ac:dyDescent="0.2">
      <c r="A60">
        <v>36</v>
      </c>
      <c r="B60" s="7">
        <f t="shared" si="0"/>
        <v>4.8</v>
      </c>
      <c r="C60" s="8">
        <f t="shared" si="1"/>
        <v>1.7333333333333334</v>
      </c>
      <c r="D60">
        <f t="shared" si="2"/>
        <v>30.508474576271187</v>
      </c>
    </row>
    <row r="61" spans="1:4" x14ac:dyDescent="0.2">
      <c r="A61">
        <v>38</v>
      </c>
      <c r="B61" s="7">
        <f t="shared" si="0"/>
        <v>4.8</v>
      </c>
      <c r="C61" s="8">
        <f t="shared" si="1"/>
        <v>1.8444444444444446</v>
      </c>
      <c r="D61">
        <f t="shared" si="2"/>
        <v>32.203389830508478</v>
      </c>
    </row>
    <row r="62" spans="1:4" x14ac:dyDescent="0.2">
      <c r="A62">
        <v>40</v>
      </c>
      <c r="B62" s="7">
        <f t="shared" si="0"/>
        <v>4.8</v>
      </c>
      <c r="C62" s="8">
        <f t="shared" si="1"/>
        <v>1.9555555555555555</v>
      </c>
      <c r="D62">
        <f t="shared" si="2"/>
        <v>33.898305084745765</v>
      </c>
    </row>
    <row r="63" spans="1:4" x14ac:dyDescent="0.2">
      <c r="A63">
        <v>42</v>
      </c>
      <c r="B63" s="7">
        <f t="shared" si="0"/>
        <v>4.8</v>
      </c>
      <c r="C63" s="8">
        <f t="shared" si="1"/>
        <v>2.0666666666666669</v>
      </c>
      <c r="D63">
        <f t="shared" si="2"/>
        <v>35.593220338983052</v>
      </c>
    </row>
  </sheetData>
  <phoneticPr fontId="3" type="noConversion"/>
  <pageMargins left="0.75" right="0.75" top="1" bottom="1" header="0.5" footer="0.5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D16"/>
  <sheetViews>
    <sheetView workbookViewId="0">
      <selection sqref="A1:D1"/>
    </sheetView>
  </sheetViews>
  <sheetFormatPr defaultRowHeight="12.75" x14ac:dyDescent="0.2"/>
  <cols>
    <col min="1" max="1" width="22.85546875" customWidth="1"/>
    <col min="4" max="4" width="56.140625" customWidth="1"/>
  </cols>
  <sheetData>
    <row r="1" spans="1:4" x14ac:dyDescent="0.2">
      <c r="A1" s="1" t="s">
        <v>1</v>
      </c>
      <c r="B1" s="1" t="s">
        <v>2</v>
      </c>
      <c r="C1" s="1" t="s">
        <v>3</v>
      </c>
      <c r="D1" s="1" t="s">
        <v>50</v>
      </c>
    </row>
    <row r="2" spans="1:4" x14ac:dyDescent="0.2">
      <c r="A2" t="s">
        <v>130</v>
      </c>
      <c r="B2">
        <v>9</v>
      </c>
      <c r="C2" t="s">
        <v>131</v>
      </c>
      <c r="D2" t="s">
        <v>141</v>
      </c>
    </row>
    <row r="3" spans="1:4" x14ac:dyDescent="0.2">
      <c r="A3" t="s">
        <v>129</v>
      </c>
      <c r="B3">
        <v>5</v>
      </c>
      <c r="C3" t="s">
        <v>6</v>
      </c>
      <c r="D3" t="s">
        <v>142</v>
      </c>
    </row>
    <row r="4" spans="1:4" x14ac:dyDescent="0.2">
      <c r="A4" t="s">
        <v>140</v>
      </c>
      <c r="B4">
        <f>B2*B3</f>
        <v>45</v>
      </c>
      <c r="C4" t="s">
        <v>139</v>
      </c>
    </row>
    <row r="6" spans="1:4" x14ac:dyDescent="0.2">
      <c r="A6" t="s">
        <v>132</v>
      </c>
      <c r="B6">
        <v>12</v>
      </c>
      <c r="C6" t="s">
        <v>131</v>
      </c>
    </row>
    <row r="7" spans="1:4" x14ac:dyDescent="0.2">
      <c r="A7" t="s">
        <v>133</v>
      </c>
      <c r="B7" s="7">
        <f>B$3 * B6/B$2</f>
        <v>6.666666666666667</v>
      </c>
      <c r="C7" t="s">
        <v>6</v>
      </c>
    </row>
    <row r="8" spans="1:4" x14ac:dyDescent="0.2">
      <c r="A8" t="s">
        <v>136</v>
      </c>
      <c r="B8" s="7">
        <f>B6*B7</f>
        <v>80</v>
      </c>
      <c r="C8" t="s">
        <v>139</v>
      </c>
    </row>
    <row r="9" spans="1:4" x14ac:dyDescent="0.2">
      <c r="B9" s="7"/>
    </row>
    <row r="10" spans="1:4" x14ac:dyDescent="0.2">
      <c r="A10" t="s">
        <v>134</v>
      </c>
      <c r="B10">
        <v>24</v>
      </c>
      <c r="C10" t="s">
        <v>131</v>
      </c>
    </row>
    <row r="11" spans="1:4" x14ac:dyDescent="0.2">
      <c r="A11" t="s">
        <v>135</v>
      </c>
      <c r="B11" s="7">
        <f>B$3 * B10/B$2</f>
        <v>13.333333333333334</v>
      </c>
      <c r="C11" t="s">
        <v>6</v>
      </c>
    </row>
    <row r="12" spans="1:4" x14ac:dyDescent="0.2">
      <c r="A12" t="s">
        <v>137</v>
      </c>
      <c r="B12" s="7">
        <f>B10*B11</f>
        <v>320</v>
      </c>
      <c r="C12" t="s">
        <v>139</v>
      </c>
    </row>
    <row r="13" spans="1:4" x14ac:dyDescent="0.2">
      <c r="B13" s="7"/>
    </row>
    <row r="14" spans="1:4" x14ac:dyDescent="0.2">
      <c r="A14" t="s">
        <v>134</v>
      </c>
      <c r="B14">
        <v>32</v>
      </c>
      <c r="C14" t="s">
        <v>131</v>
      </c>
    </row>
    <row r="15" spans="1:4" x14ac:dyDescent="0.2">
      <c r="A15" t="s">
        <v>135</v>
      </c>
      <c r="B15" s="7">
        <f>B$3 * B14/B$2</f>
        <v>17.777777777777779</v>
      </c>
      <c r="C15" t="s">
        <v>6</v>
      </c>
    </row>
    <row r="16" spans="1:4" x14ac:dyDescent="0.2">
      <c r="A16" t="s">
        <v>138</v>
      </c>
      <c r="B16" s="7">
        <f>B14*B15</f>
        <v>568.88888888888891</v>
      </c>
      <c r="C16" t="s">
        <v>139</v>
      </c>
    </row>
  </sheetData>
  <phoneticPr fontId="3" type="noConversion"/>
  <pageMargins left="0.75" right="0.75" top="1" bottom="1" header="0.5" footer="0.5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E46"/>
  <sheetViews>
    <sheetView workbookViewId="0">
      <selection activeCell="B36" sqref="B36"/>
    </sheetView>
  </sheetViews>
  <sheetFormatPr defaultRowHeight="12.75" x14ac:dyDescent="0.2"/>
  <cols>
    <col min="1" max="1" width="19" customWidth="1"/>
    <col min="2" max="2" width="16.7109375" bestFit="1" customWidth="1"/>
    <col min="3" max="3" width="39.28515625" customWidth="1"/>
    <col min="4" max="4" width="21.140625" bestFit="1" customWidth="1"/>
  </cols>
  <sheetData>
    <row r="1" spans="1:5" x14ac:dyDescent="0.2">
      <c r="A1" s="1" t="s">
        <v>93</v>
      </c>
      <c r="B1" s="1" t="s">
        <v>113</v>
      </c>
      <c r="C1" s="1" t="s">
        <v>95</v>
      </c>
      <c r="D1" s="1"/>
      <c r="E1" s="14"/>
    </row>
    <row r="2" spans="1:5" x14ac:dyDescent="0.2">
      <c r="A2" t="s">
        <v>94</v>
      </c>
      <c r="B2" s="11" t="s">
        <v>114</v>
      </c>
      <c r="C2" s="11" t="s">
        <v>126</v>
      </c>
      <c r="D2" t="s">
        <v>127</v>
      </c>
    </row>
    <row r="3" spans="1:5" x14ac:dyDescent="0.2">
      <c r="A3" t="s">
        <v>94</v>
      </c>
      <c r="B3" s="11" t="s">
        <v>115</v>
      </c>
      <c r="C3" s="11" t="s">
        <v>104</v>
      </c>
      <c r="D3" t="s">
        <v>128</v>
      </c>
    </row>
    <row r="4" spans="1:5" x14ac:dyDescent="0.2">
      <c r="A4" t="s">
        <v>94</v>
      </c>
      <c r="B4" s="11" t="s">
        <v>116</v>
      </c>
      <c r="C4" s="11" t="s">
        <v>105</v>
      </c>
      <c r="D4" t="s">
        <v>143</v>
      </c>
    </row>
    <row r="5" spans="1:5" x14ac:dyDescent="0.2">
      <c r="A5" t="s">
        <v>94</v>
      </c>
      <c r="B5" s="11" t="s">
        <v>117</v>
      </c>
      <c r="C5" s="11" t="s">
        <v>105</v>
      </c>
      <c r="D5" t="s">
        <v>144</v>
      </c>
    </row>
    <row r="6" spans="1:5" x14ac:dyDescent="0.2">
      <c r="A6" t="s">
        <v>94</v>
      </c>
      <c r="B6" s="11" t="s">
        <v>118</v>
      </c>
      <c r="C6" s="11" t="s">
        <v>145</v>
      </c>
      <c r="D6" t="s">
        <v>146</v>
      </c>
    </row>
    <row r="7" spans="1:5" x14ac:dyDescent="0.2">
      <c r="A7" t="s">
        <v>94</v>
      </c>
      <c r="B7" s="11" t="s">
        <v>100</v>
      </c>
      <c r="C7" s="11" t="s">
        <v>101</v>
      </c>
      <c r="D7" t="s">
        <v>149</v>
      </c>
    </row>
    <row r="8" spans="1:5" x14ac:dyDescent="0.2">
      <c r="A8" t="s">
        <v>94</v>
      </c>
      <c r="B8" s="12" t="s">
        <v>120</v>
      </c>
      <c r="C8" t="s">
        <v>102</v>
      </c>
    </row>
    <row r="9" spans="1:5" x14ac:dyDescent="0.2">
      <c r="A9" t="s">
        <v>94</v>
      </c>
      <c r="B9" s="12" t="s">
        <v>121</v>
      </c>
      <c r="C9" t="s">
        <v>103</v>
      </c>
    </row>
    <row r="10" spans="1:5" x14ac:dyDescent="0.2">
      <c r="A10" t="s">
        <v>94</v>
      </c>
      <c r="B10" s="12" t="s">
        <v>122</v>
      </c>
      <c r="C10" t="s">
        <v>103</v>
      </c>
    </row>
    <row r="12" spans="1:5" x14ac:dyDescent="0.2">
      <c r="B12" s="12" t="s">
        <v>119</v>
      </c>
      <c r="C12" t="s">
        <v>148</v>
      </c>
      <c r="D12" t="s">
        <v>147</v>
      </c>
    </row>
    <row r="14" spans="1:5" x14ac:dyDescent="0.2">
      <c r="A14" t="s">
        <v>155</v>
      </c>
      <c r="B14" s="11" t="s">
        <v>123</v>
      </c>
      <c r="C14" t="s">
        <v>153</v>
      </c>
      <c r="D14" t="s">
        <v>160</v>
      </c>
    </row>
    <row r="15" spans="1:5" x14ac:dyDescent="0.2">
      <c r="A15" t="s">
        <v>155</v>
      </c>
      <c r="B15" s="11" t="s">
        <v>156</v>
      </c>
      <c r="C15" t="s">
        <v>157</v>
      </c>
    </row>
    <row r="16" spans="1:5" x14ac:dyDescent="0.2">
      <c r="A16" t="s">
        <v>155</v>
      </c>
      <c r="B16" s="11" t="s">
        <v>158</v>
      </c>
      <c r="C16" t="s">
        <v>159</v>
      </c>
    </row>
    <row r="17" spans="1:4" x14ac:dyDescent="0.2">
      <c r="A17" t="s">
        <v>155</v>
      </c>
      <c r="B17" s="11" t="s">
        <v>161</v>
      </c>
      <c r="C17" t="s">
        <v>154</v>
      </c>
    </row>
    <row r="18" spans="1:4" x14ac:dyDescent="0.2">
      <c r="A18" t="s">
        <v>155</v>
      </c>
      <c r="B18" s="11" t="s">
        <v>111</v>
      </c>
      <c r="C18" t="s">
        <v>112</v>
      </c>
      <c r="D18" t="s">
        <v>179</v>
      </c>
    </row>
    <row r="19" spans="1:4" x14ac:dyDescent="0.2">
      <c r="A19" t="s">
        <v>97</v>
      </c>
      <c r="B19" s="11" t="s">
        <v>151</v>
      </c>
      <c r="C19" t="s">
        <v>150</v>
      </c>
    </row>
    <row r="22" spans="1:4" x14ac:dyDescent="0.2">
      <c r="A22" t="s">
        <v>96</v>
      </c>
      <c r="B22" s="11" t="s">
        <v>106</v>
      </c>
      <c r="C22" t="s">
        <v>107</v>
      </c>
      <c r="D22" t="s">
        <v>152</v>
      </c>
    </row>
    <row r="23" spans="1:4" x14ac:dyDescent="0.2">
      <c r="A23" t="s">
        <v>96</v>
      </c>
      <c r="B23" s="15" t="s">
        <v>108</v>
      </c>
      <c r="C23" t="s">
        <v>162</v>
      </c>
      <c r="D23" t="s">
        <v>163</v>
      </c>
    </row>
    <row r="24" spans="1:4" x14ac:dyDescent="0.2">
      <c r="A24" t="s">
        <v>96</v>
      </c>
      <c r="B24" s="11" t="s">
        <v>109</v>
      </c>
      <c r="C24" t="s">
        <v>110</v>
      </c>
      <c r="D24" t="s">
        <v>177</v>
      </c>
    </row>
    <row r="25" spans="1:4" x14ac:dyDescent="0.2">
      <c r="A25" t="s">
        <v>96</v>
      </c>
      <c r="B25" s="15" t="s">
        <v>124</v>
      </c>
      <c r="C25" t="s">
        <v>125</v>
      </c>
      <c r="D25" t="s">
        <v>178</v>
      </c>
    </row>
    <row r="26" spans="1:4" x14ac:dyDescent="0.2">
      <c r="A26" t="s">
        <v>96</v>
      </c>
      <c r="B26" s="12" t="s">
        <v>180</v>
      </c>
      <c r="C26" t="s">
        <v>200</v>
      </c>
    </row>
    <row r="27" spans="1:4" x14ac:dyDescent="0.2">
      <c r="A27" t="s">
        <v>96</v>
      </c>
      <c r="B27" s="27" t="s">
        <v>186</v>
      </c>
      <c r="C27" t="s">
        <v>187</v>
      </c>
    </row>
    <row r="28" spans="1:4" x14ac:dyDescent="0.2">
      <c r="A28" t="s">
        <v>96</v>
      </c>
      <c r="B28" s="12" t="s">
        <v>188</v>
      </c>
      <c r="C28" t="s">
        <v>189</v>
      </c>
      <c r="D28" t="s">
        <v>201</v>
      </c>
    </row>
    <row r="29" spans="1:4" x14ac:dyDescent="0.2">
      <c r="A29" t="s">
        <v>96</v>
      </c>
      <c r="B29" s="27" t="s">
        <v>190</v>
      </c>
      <c r="C29" t="s">
        <v>191</v>
      </c>
    </row>
    <row r="30" spans="1:4" x14ac:dyDescent="0.2">
      <c r="A30" t="s">
        <v>96</v>
      </c>
      <c r="B30" s="11" t="s">
        <v>192</v>
      </c>
      <c r="C30" t="s">
        <v>193</v>
      </c>
      <c r="D30" t="s">
        <v>203</v>
      </c>
    </row>
    <row r="31" spans="1:4" x14ac:dyDescent="0.2">
      <c r="A31" t="s">
        <v>96</v>
      </c>
      <c r="B31" s="27" t="s">
        <v>194</v>
      </c>
      <c r="C31" t="s">
        <v>195</v>
      </c>
      <c r="D31" t="s">
        <v>204</v>
      </c>
    </row>
    <row r="32" spans="1:4" x14ac:dyDescent="0.2">
      <c r="A32" t="s">
        <v>96</v>
      </c>
      <c r="B32" s="23" t="s">
        <v>196</v>
      </c>
      <c r="C32" t="s">
        <v>197</v>
      </c>
      <c r="D32" t="s">
        <v>210</v>
      </c>
    </row>
    <row r="33" spans="1:4" x14ac:dyDescent="0.2">
      <c r="A33" t="s">
        <v>96</v>
      </c>
      <c r="B33" s="12" t="s">
        <v>198</v>
      </c>
      <c r="C33" t="s">
        <v>199</v>
      </c>
    </row>
    <row r="34" spans="1:4" x14ac:dyDescent="0.2">
      <c r="A34" t="s">
        <v>96</v>
      </c>
      <c r="B34" s="12" t="s">
        <v>205</v>
      </c>
      <c r="C34" t="s">
        <v>206</v>
      </c>
      <c r="D34" t="s">
        <v>207</v>
      </c>
    </row>
    <row r="35" spans="1:4" x14ac:dyDescent="0.2">
      <c r="A35" t="s">
        <v>96</v>
      </c>
      <c r="B35" s="27" t="s">
        <v>211</v>
      </c>
      <c r="C35" t="s">
        <v>209</v>
      </c>
      <c r="D35" t="s">
        <v>208</v>
      </c>
    </row>
    <row r="39" spans="1:4" x14ac:dyDescent="0.2">
      <c r="A39" t="s">
        <v>98</v>
      </c>
      <c r="C39" t="s">
        <v>99</v>
      </c>
    </row>
    <row r="41" spans="1:4" ht="13.5" thickBot="1" x14ac:dyDescent="0.25"/>
    <row r="42" spans="1:4" x14ac:dyDescent="0.2">
      <c r="A42" s="17" t="s">
        <v>182</v>
      </c>
      <c r="B42" s="18" t="s">
        <v>181</v>
      </c>
      <c r="C42" s="19" t="s">
        <v>183</v>
      </c>
    </row>
    <row r="43" spans="1:4" x14ac:dyDescent="0.2">
      <c r="A43" s="28"/>
      <c r="B43" s="29" t="s">
        <v>173</v>
      </c>
      <c r="C43" s="22" t="s">
        <v>202</v>
      </c>
    </row>
    <row r="44" spans="1:4" x14ac:dyDescent="0.2">
      <c r="A44" s="20"/>
      <c r="B44" s="21" t="s">
        <v>173</v>
      </c>
      <c r="C44" s="22" t="s">
        <v>184</v>
      </c>
    </row>
    <row r="45" spans="1:4" x14ac:dyDescent="0.2">
      <c r="A45" s="20"/>
      <c r="B45" s="23" t="s">
        <v>175</v>
      </c>
      <c r="C45" s="22" t="s">
        <v>176</v>
      </c>
    </row>
    <row r="46" spans="1:4" ht="13.5" thickBot="1" x14ac:dyDescent="0.25">
      <c r="A46" s="24"/>
      <c r="B46" s="25" t="s">
        <v>174</v>
      </c>
      <c r="C46" s="26" t="s">
        <v>185</v>
      </c>
    </row>
  </sheetData>
  <phoneticPr fontId="3" type="noConversion"/>
  <pageMargins left="0.75" right="0.75" top="1" bottom="1" header="0.5" footer="0.5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F11"/>
  <sheetViews>
    <sheetView workbookViewId="0">
      <selection activeCell="F10" sqref="F10"/>
    </sheetView>
  </sheetViews>
  <sheetFormatPr defaultRowHeight="12.75" x14ac:dyDescent="0.2"/>
  <cols>
    <col min="1" max="1" width="22" customWidth="1"/>
    <col min="3" max="3" width="11.42578125" bestFit="1" customWidth="1"/>
    <col min="4" max="4" width="10.28515625" bestFit="1" customWidth="1"/>
    <col min="5" max="5" width="12.28515625" bestFit="1" customWidth="1"/>
  </cols>
  <sheetData>
    <row r="1" spans="1:6" x14ac:dyDescent="0.2">
      <c r="A1" t="s">
        <v>215</v>
      </c>
    </row>
    <row r="2" spans="1:6" x14ac:dyDescent="0.2">
      <c r="A2" t="s">
        <v>293</v>
      </c>
    </row>
    <row r="3" spans="1:6" x14ac:dyDescent="0.2">
      <c r="A3" t="s">
        <v>294</v>
      </c>
    </row>
    <row r="5" spans="1:6" x14ac:dyDescent="0.2">
      <c r="A5" t="s">
        <v>317</v>
      </c>
      <c r="B5" t="s">
        <v>318</v>
      </c>
      <c r="C5" t="s">
        <v>319</v>
      </c>
      <c r="D5" t="s">
        <v>320</v>
      </c>
      <c r="E5" t="s">
        <v>321</v>
      </c>
      <c r="F5" t="s">
        <v>322</v>
      </c>
    </row>
    <row r="7" spans="1:6" x14ac:dyDescent="0.2">
      <c r="A7" t="s">
        <v>295</v>
      </c>
      <c r="B7" t="s">
        <v>296</v>
      </c>
      <c r="C7" t="s">
        <v>323</v>
      </c>
      <c r="D7" t="s">
        <v>297</v>
      </c>
      <c r="E7" t="s">
        <v>298</v>
      </c>
      <c r="F7" t="s">
        <v>299</v>
      </c>
    </row>
    <row r="8" spans="1:6" x14ac:dyDescent="0.2">
      <c r="A8" t="s">
        <v>300</v>
      </c>
      <c r="B8" t="s">
        <v>296</v>
      </c>
      <c r="C8" t="s">
        <v>324</v>
      </c>
      <c r="D8" t="s">
        <v>301</v>
      </c>
      <c r="E8" t="s">
        <v>302</v>
      </c>
      <c r="F8" t="s">
        <v>303</v>
      </c>
    </row>
    <row r="9" spans="1:6" x14ac:dyDescent="0.2">
      <c r="A9" t="s">
        <v>304</v>
      </c>
      <c r="B9" t="s">
        <v>296</v>
      </c>
      <c r="C9" t="s">
        <v>324</v>
      </c>
      <c r="D9" t="s">
        <v>305</v>
      </c>
      <c r="E9" t="s">
        <v>306</v>
      </c>
      <c r="F9" t="s">
        <v>307</v>
      </c>
    </row>
    <row r="10" spans="1:6" x14ac:dyDescent="0.2">
      <c r="A10" t="s">
        <v>308</v>
      </c>
      <c r="B10" t="s">
        <v>309</v>
      </c>
      <c r="C10" t="s">
        <v>325</v>
      </c>
      <c r="D10" t="s">
        <v>310</v>
      </c>
      <c r="E10" t="s">
        <v>311</v>
      </c>
      <c r="F10" t="s">
        <v>312</v>
      </c>
    </row>
    <row r="11" spans="1:6" x14ac:dyDescent="0.2">
      <c r="A11" t="s">
        <v>313</v>
      </c>
      <c r="B11" t="s">
        <v>296</v>
      </c>
      <c r="C11" t="s">
        <v>326</v>
      </c>
      <c r="D11" t="s">
        <v>314</v>
      </c>
      <c r="E11" t="s">
        <v>315</v>
      </c>
      <c r="F11" t="s">
        <v>316</v>
      </c>
    </row>
  </sheetData>
  <phoneticPr fontId="3" type="noConversion"/>
  <pageMargins left="0.75" right="0.75" top="1" bottom="1" header="0.5" footer="0.5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Q26"/>
  <sheetViews>
    <sheetView zoomScale="70" workbookViewId="0">
      <selection activeCell="F24" sqref="F24"/>
    </sheetView>
  </sheetViews>
  <sheetFormatPr defaultRowHeight="12.75" x14ac:dyDescent="0.2"/>
  <cols>
    <col min="1" max="1" width="10.140625" customWidth="1"/>
    <col min="2" max="2" width="17.140625" bestFit="1" customWidth="1"/>
    <col min="3" max="4" width="7.28515625" bestFit="1" customWidth="1"/>
    <col min="5" max="5" width="5.42578125" bestFit="1" customWidth="1"/>
    <col min="6" max="6" width="7.85546875" bestFit="1" customWidth="1"/>
    <col min="7" max="7" width="12.5703125" bestFit="1" customWidth="1"/>
    <col min="8" max="8" width="8.85546875" bestFit="1" customWidth="1"/>
    <col min="9" max="9" width="10.5703125" bestFit="1" customWidth="1"/>
    <col min="10" max="10" width="14.5703125" bestFit="1" customWidth="1"/>
    <col min="11" max="11" width="13.42578125" bestFit="1" customWidth="1"/>
    <col min="12" max="12" width="7.140625" bestFit="1" customWidth="1"/>
    <col min="13" max="13" width="9.28515625" bestFit="1" customWidth="1"/>
    <col min="14" max="14" width="7.42578125" bestFit="1" customWidth="1"/>
    <col min="15" max="15" width="10" bestFit="1" customWidth="1"/>
    <col min="16" max="16" width="12.5703125" bestFit="1" customWidth="1"/>
    <col min="17" max="17" width="12.85546875" bestFit="1" customWidth="1"/>
  </cols>
  <sheetData>
    <row r="1" spans="1:17" x14ac:dyDescent="0.2">
      <c r="A1" s="37" t="s">
        <v>242</v>
      </c>
      <c r="B1" s="37" t="s">
        <v>243</v>
      </c>
      <c r="C1" s="37" t="s">
        <v>275</v>
      </c>
      <c r="D1" s="37" t="s">
        <v>244</v>
      </c>
      <c r="E1" s="37" t="s">
        <v>213</v>
      </c>
      <c r="F1" s="37" t="s">
        <v>284</v>
      </c>
      <c r="G1" s="37" t="s">
        <v>263</v>
      </c>
      <c r="H1" s="37" t="s">
        <v>254</v>
      </c>
      <c r="I1" s="37" t="s">
        <v>256</v>
      </c>
      <c r="J1" s="37" t="s">
        <v>245</v>
      </c>
      <c r="K1" s="37" t="s">
        <v>280</v>
      </c>
      <c r="L1" s="37" t="s">
        <v>270</v>
      </c>
      <c r="M1" s="37" t="s">
        <v>248</v>
      </c>
      <c r="N1" s="37" t="s">
        <v>249</v>
      </c>
      <c r="O1" s="37" t="s">
        <v>250</v>
      </c>
      <c r="P1" s="37" t="s">
        <v>260</v>
      </c>
      <c r="Q1" s="37" t="s">
        <v>268</v>
      </c>
    </row>
    <row r="2" spans="1:17" x14ac:dyDescent="0.2">
      <c r="A2" t="s">
        <v>246</v>
      </c>
      <c r="B2" s="33" t="s">
        <v>247</v>
      </c>
      <c r="C2" s="35"/>
      <c r="D2" s="30"/>
      <c r="F2" t="s">
        <v>262</v>
      </c>
      <c r="H2" s="34" t="s">
        <v>255</v>
      </c>
      <c r="I2" s="34">
        <v>27</v>
      </c>
      <c r="J2">
        <v>45</v>
      </c>
      <c r="K2" t="s">
        <v>252</v>
      </c>
      <c r="L2" t="s">
        <v>251</v>
      </c>
      <c r="M2" t="s">
        <v>251</v>
      </c>
      <c r="N2" t="s">
        <v>253</v>
      </c>
      <c r="O2" t="s">
        <v>251</v>
      </c>
    </row>
    <row r="3" spans="1:17" x14ac:dyDescent="0.2">
      <c r="A3" t="s">
        <v>257</v>
      </c>
      <c r="B3" s="33" t="s">
        <v>258</v>
      </c>
      <c r="C3" s="35"/>
      <c r="D3" s="30">
        <v>0.47</v>
      </c>
      <c r="E3">
        <v>1000</v>
      </c>
      <c r="F3" t="s">
        <v>262</v>
      </c>
      <c r="H3" s="34" t="s">
        <v>255</v>
      </c>
      <c r="I3">
        <v>27</v>
      </c>
      <c r="J3">
        <v>40</v>
      </c>
      <c r="L3" t="s">
        <v>251</v>
      </c>
      <c r="P3" t="s">
        <v>251</v>
      </c>
      <c r="Q3" t="s">
        <v>228</v>
      </c>
    </row>
    <row r="4" spans="1:17" x14ac:dyDescent="0.2">
      <c r="A4" t="s">
        <v>257</v>
      </c>
      <c r="B4" s="33" t="s">
        <v>259</v>
      </c>
      <c r="C4" s="35"/>
      <c r="D4" s="30">
        <v>0.4</v>
      </c>
      <c r="E4">
        <v>1000</v>
      </c>
      <c r="F4" t="s">
        <v>262</v>
      </c>
      <c r="H4" s="34" t="s">
        <v>255</v>
      </c>
      <c r="I4">
        <v>27</v>
      </c>
      <c r="J4">
        <v>40</v>
      </c>
      <c r="L4" t="s">
        <v>251</v>
      </c>
      <c r="P4" t="s">
        <v>251</v>
      </c>
      <c r="Q4" t="s">
        <v>227</v>
      </c>
    </row>
    <row r="5" spans="1:17" x14ac:dyDescent="0.2">
      <c r="A5" t="s">
        <v>261</v>
      </c>
      <c r="B5" s="33" t="s">
        <v>271</v>
      </c>
      <c r="C5" s="35"/>
      <c r="D5" s="30"/>
      <c r="F5" s="27" t="s">
        <v>251</v>
      </c>
      <c r="G5" s="27" t="s">
        <v>264</v>
      </c>
      <c r="H5" s="34" t="s">
        <v>269</v>
      </c>
      <c r="I5" s="27">
        <v>40</v>
      </c>
      <c r="J5" s="27">
        <v>40</v>
      </c>
      <c r="L5" t="s">
        <v>251</v>
      </c>
      <c r="N5" t="s">
        <v>267</v>
      </c>
      <c r="O5" t="s">
        <v>266</v>
      </c>
      <c r="Q5" t="s">
        <v>227</v>
      </c>
    </row>
    <row r="6" spans="1:17" x14ac:dyDescent="0.2">
      <c r="A6" t="s">
        <v>261</v>
      </c>
      <c r="B6" s="33" t="s">
        <v>272</v>
      </c>
      <c r="C6" s="35"/>
      <c r="D6" s="30">
        <v>0.7</v>
      </c>
      <c r="E6">
        <v>1500</v>
      </c>
      <c r="F6" s="27" t="s">
        <v>251</v>
      </c>
      <c r="G6" s="27" t="s">
        <v>265</v>
      </c>
      <c r="H6" s="34" t="s">
        <v>269</v>
      </c>
      <c r="I6" s="27">
        <v>40</v>
      </c>
      <c r="J6" s="27">
        <v>40</v>
      </c>
      <c r="L6" t="s">
        <v>251</v>
      </c>
      <c r="N6" t="s">
        <v>267</v>
      </c>
      <c r="O6" t="s">
        <v>266</v>
      </c>
      <c r="Q6" t="s">
        <v>227</v>
      </c>
    </row>
    <row r="7" spans="1:17" x14ac:dyDescent="0.2">
      <c r="A7" t="s">
        <v>261</v>
      </c>
      <c r="B7" t="s">
        <v>273</v>
      </c>
      <c r="C7" s="35">
        <v>2.1</v>
      </c>
      <c r="D7" s="30">
        <v>0.46</v>
      </c>
      <c r="E7">
        <v>2500</v>
      </c>
      <c r="F7" t="s">
        <v>262</v>
      </c>
      <c r="H7" s="34" t="s">
        <v>269</v>
      </c>
      <c r="I7">
        <v>40</v>
      </c>
      <c r="Q7" t="s">
        <v>227</v>
      </c>
    </row>
    <row r="8" spans="1:17" x14ac:dyDescent="0.2">
      <c r="A8" t="s">
        <v>261</v>
      </c>
      <c r="B8" t="s">
        <v>274</v>
      </c>
      <c r="C8" s="35">
        <v>2.2000000000000002</v>
      </c>
      <c r="D8" s="30"/>
      <c r="F8" t="s">
        <v>262</v>
      </c>
      <c r="H8" s="34" t="s">
        <v>269</v>
      </c>
      <c r="I8">
        <v>40</v>
      </c>
      <c r="Q8" t="s">
        <v>227</v>
      </c>
    </row>
    <row r="9" spans="1:17" x14ac:dyDescent="0.2">
      <c r="A9" t="s">
        <v>276</v>
      </c>
      <c r="B9" s="33" t="s">
        <v>277</v>
      </c>
      <c r="C9" s="35">
        <v>2</v>
      </c>
      <c r="D9" s="30"/>
    </row>
    <row r="10" spans="1:17" x14ac:dyDescent="0.2">
      <c r="A10" t="s">
        <v>276</v>
      </c>
      <c r="B10" t="s">
        <v>279</v>
      </c>
      <c r="C10" s="35">
        <v>2</v>
      </c>
      <c r="D10" s="30"/>
    </row>
    <row r="11" spans="1:17" x14ac:dyDescent="0.2">
      <c r="A11" t="s">
        <v>276</v>
      </c>
      <c r="B11" s="36" t="s">
        <v>281</v>
      </c>
      <c r="C11" s="35">
        <v>2.1</v>
      </c>
      <c r="D11" s="30">
        <v>1.03</v>
      </c>
      <c r="E11">
        <v>2500</v>
      </c>
      <c r="F11" s="27" t="s">
        <v>251</v>
      </c>
      <c r="G11" s="27" t="s">
        <v>283</v>
      </c>
      <c r="L11" t="s">
        <v>251</v>
      </c>
      <c r="M11" t="s">
        <v>251</v>
      </c>
      <c r="P11" t="s">
        <v>251</v>
      </c>
      <c r="Q11" t="s">
        <v>227</v>
      </c>
    </row>
    <row r="12" spans="1:17" x14ac:dyDescent="0.2">
      <c r="A12" t="s">
        <v>276</v>
      </c>
      <c r="B12" t="s">
        <v>278</v>
      </c>
      <c r="C12" s="35">
        <v>2.1</v>
      </c>
      <c r="D12" s="30">
        <v>1.03</v>
      </c>
      <c r="E12">
        <v>2500</v>
      </c>
      <c r="F12" s="27" t="s">
        <v>251</v>
      </c>
      <c r="G12" s="27" t="s">
        <v>282</v>
      </c>
      <c r="H12" s="34" t="s">
        <v>269</v>
      </c>
      <c r="I12" s="27">
        <v>40</v>
      </c>
      <c r="J12" s="27">
        <v>40</v>
      </c>
      <c r="L12" t="s">
        <v>251</v>
      </c>
      <c r="P12" t="s">
        <v>251</v>
      </c>
    </row>
    <row r="13" spans="1:17" x14ac:dyDescent="0.2">
      <c r="A13" t="s">
        <v>285</v>
      </c>
      <c r="B13" s="33" t="s">
        <v>286</v>
      </c>
      <c r="C13" s="35">
        <v>2.1</v>
      </c>
      <c r="D13" s="30">
        <v>0.95</v>
      </c>
      <c r="E13">
        <v>500</v>
      </c>
      <c r="F13" t="s">
        <v>251</v>
      </c>
      <c r="G13" t="s">
        <v>283</v>
      </c>
      <c r="H13" s="34" t="s">
        <v>255</v>
      </c>
      <c r="I13" s="11">
        <v>30</v>
      </c>
      <c r="K13">
        <v>43</v>
      </c>
    </row>
    <row r="14" spans="1:17" x14ac:dyDescent="0.2">
      <c r="A14" t="s">
        <v>285</v>
      </c>
      <c r="B14" s="33" t="s">
        <v>286</v>
      </c>
      <c r="C14" s="35">
        <v>2.1</v>
      </c>
      <c r="D14" s="30">
        <v>0.95</v>
      </c>
      <c r="E14">
        <v>500</v>
      </c>
      <c r="F14" t="s">
        <v>251</v>
      </c>
      <c r="G14" t="s">
        <v>282</v>
      </c>
      <c r="H14" s="34" t="s">
        <v>255</v>
      </c>
      <c r="I14" s="11">
        <v>30</v>
      </c>
      <c r="K14">
        <v>43</v>
      </c>
    </row>
    <row r="15" spans="1:17" x14ac:dyDescent="0.2">
      <c r="B15" s="33"/>
      <c r="C15" s="35"/>
      <c r="D15" s="30"/>
      <c r="H15" s="34"/>
    </row>
    <row r="16" spans="1:17" x14ac:dyDescent="0.2">
      <c r="B16" s="33"/>
      <c r="C16" s="35"/>
      <c r="D16" s="30"/>
      <c r="H16" s="34"/>
    </row>
    <row r="17" spans="1:8" x14ac:dyDescent="0.2">
      <c r="B17" s="33"/>
      <c r="C17" s="35"/>
      <c r="D17" s="30"/>
      <c r="H17" s="34"/>
    </row>
    <row r="18" spans="1:8" x14ac:dyDescent="0.2">
      <c r="B18" s="33"/>
      <c r="C18" s="35"/>
      <c r="D18" s="30"/>
      <c r="H18" s="34"/>
    </row>
    <row r="19" spans="1:8" x14ac:dyDescent="0.2">
      <c r="B19" s="33"/>
      <c r="C19" s="35"/>
      <c r="D19" s="30"/>
      <c r="H19" s="34"/>
    </row>
    <row r="20" spans="1:8" x14ac:dyDescent="0.2">
      <c r="A20" s="37" t="s">
        <v>291</v>
      </c>
      <c r="B20" s="33"/>
      <c r="C20" s="35"/>
      <c r="D20" s="30"/>
      <c r="F20" t="s">
        <v>292</v>
      </c>
      <c r="H20" s="34"/>
    </row>
    <row r="21" spans="1:8" x14ac:dyDescent="0.2">
      <c r="A21" t="s">
        <v>287</v>
      </c>
      <c r="B21" t="s">
        <v>288</v>
      </c>
      <c r="C21" s="35"/>
      <c r="D21" s="30">
        <v>2.81</v>
      </c>
      <c r="E21">
        <v>1000</v>
      </c>
    </row>
    <row r="22" spans="1:8" x14ac:dyDescent="0.2">
      <c r="A22" t="s">
        <v>287</v>
      </c>
      <c r="B22" s="33" t="s">
        <v>289</v>
      </c>
      <c r="D22" s="30">
        <v>3.87</v>
      </c>
      <c r="E22">
        <v>1600</v>
      </c>
    </row>
    <row r="23" spans="1:8" x14ac:dyDescent="0.2">
      <c r="A23" t="s">
        <v>287</v>
      </c>
      <c r="B23" s="33" t="s">
        <v>290</v>
      </c>
      <c r="D23" s="30">
        <v>1.75</v>
      </c>
      <c r="E23">
        <v>1500</v>
      </c>
    </row>
    <row r="24" spans="1:8" x14ac:dyDescent="0.2">
      <c r="D24" s="30"/>
    </row>
    <row r="25" spans="1:8" x14ac:dyDescent="0.2">
      <c r="D25" s="30"/>
    </row>
    <row r="26" spans="1:8" x14ac:dyDescent="0.2">
      <c r="D26" s="30"/>
    </row>
  </sheetData>
  <phoneticPr fontId="3" type="noConversion"/>
  <hyperlinks>
    <hyperlink ref="B2" r:id="rId1"/>
    <hyperlink ref="B4" r:id="rId2" display="http://focus.ti.com/docs/prod/folders/print/tpic1021a-q1.html"/>
    <hyperlink ref="B3" r:id="rId3" display="http://focus.ti.com/docs/prod/folders/print/sn65hvda195-q1.html"/>
    <hyperlink ref="B5" r:id="rId4"/>
    <hyperlink ref="B6" r:id="rId5"/>
    <hyperlink ref="B9" r:id="rId6"/>
    <hyperlink ref="B11" r:id="rId7" display="TLE8458G"/>
    <hyperlink ref="B13" r:id="rId8"/>
    <hyperlink ref="B14" r:id="rId9"/>
    <hyperlink ref="B22" r:id="rId10"/>
    <hyperlink ref="B23" r:id="rId11"/>
  </hyperlinks>
  <pageMargins left="0.75" right="0.75" top="1" bottom="1" header="0.5" footer="0.5"/>
  <pageSetup orientation="portrait" r:id="rId12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D30"/>
  <sheetViews>
    <sheetView workbookViewId="0">
      <selection activeCell="B30" sqref="B30"/>
    </sheetView>
  </sheetViews>
  <sheetFormatPr defaultRowHeight="12.75" x14ac:dyDescent="0.2"/>
  <cols>
    <col min="1" max="1" width="12.5703125" bestFit="1" customWidth="1"/>
  </cols>
  <sheetData>
    <row r="1" spans="1:4" s="14" customFormat="1" x14ac:dyDescent="0.2">
      <c r="A1" s="14" t="s">
        <v>329</v>
      </c>
      <c r="B1" s="14" t="s">
        <v>330</v>
      </c>
      <c r="C1" s="14" t="s">
        <v>251</v>
      </c>
      <c r="D1" s="14" t="s">
        <v>3</v>
      </c>
    </row>
    <row r="2" spans="1:4" x14ac:dyDescent="0.2">
      <c r="A2">
        <v>1</v>
      </c>
      <c r="B2">
        <f>-2.5-1.25/2</f>
        <v>-3.125</v>
      </c>
      <c r="C2">
        <v>1</v>
      </c>
      <c r="D2" s="38" t="s">
        <v>331</v>
      </c>
    </row>
    <row r="3" spans="1:4" x14ac:dyDescent="0.2">
      <c r="A3">
        <v>2</v>
      </c>
      <c r="B3">
        <f>(A3-A$2)*1.25+B$2</f>
        <v>-1.875</v>
      </c>
      <c r="C3">
        <f>C2-2</f>
        <v>-1</v>
      </c>
      <c r="D3" s="38" t="s">
        <v>331</v>
      </c>
    </row>
    <row r="4" spans="1:4" x14ac:dyDescent="0.2">
      <c r="A4">
        <v>3</v>
      </c>
      <c r="B4">
        <f>(A4-A$2)*1.25+B$2</f>
        <v>-0.625</v>
      </c>
      <c r="C4">
        <f>C2</f>
        <v>1</v>
      </c>
      <c r="D4" s="38" t="s">
        <v>331</v>
      </c>
    </row>
    <row r="5" spans="1:4" x14ac:dyDescent="0.2">
      <c r="A5">
        <v>4</v>
      </c>
      <c r="B5">
        <f>(A5-A$2)*1.25+B$2</f>
        <v>0.625</v>
      </c>
      <c r="C5">
        <f>C3</f>
        <v>-1</v>
      </c>
      <c r="D5" s="38" t="s">
        <v>331</v>
      </c>
    </row>
    <row r="6" spans="1:4" x14ac:dyDescent="0.2">
      <c r="A6">
        <v>5</v>
      </c>
      <c r="B6">
        <f>(A6-A$2)*1.25+B$2</f>
        <v>1.875</v>
      </c>
      <c r="C6">
        <f>C4</f>
        <v>1</v>
      </c>
      <c r="D6" s="38" t="s">
        <v>331</v>
      </c>
    </row>
    <row r="7" spans="1:4" x14ac:dyDescent="0.2">
      <c r="A7">
        <v>6</v>
      </c>
      <c r="B7">
        <f>(A7-A$2)*1.25+B$2</f>
        <v>3.125</v>
      </c>
      <c r="C7">
        <f>C5</f>
        <v>-1</v>
      </c>
      <c r="D7" s="38" t="s">
        <v>331</v>
      </c>
    </row>
    <row r="9" spans="1:4" x14ac:dyDescent="0.2">
      <c r="A9" s="38" t="s">
        <v>332</v>
      </c>
      <c r="B9">
        <f>-13.25/2</f>
        <v>-6.625</v>
      </c>
    </row>
    <row r="10" spans="1:4" x14ac:dyDescent="0.2">
      <c r="A10" s="38" t="s">
        <v>333</v>
      </c>
      <c r="B10">
        <f>-B9</f>
        <v>6.625</v>
      </c>
    </row>
    <row r="11" spans="1:4" x14ac:dyDescent="0.2">
      <c r="A11" s="38" t="s">
        <v>334</v>
      </c>
      <c r="B11">
        <f>-8.95/2</f>
        <v>-4.4749999999999996</v>
      </c>
    </row>
    <row r="12" spans="1:4" x14ac:dyDescent="0.2">
      <c r="A12" s="38" t="s">
        <v>335</v>
      </c>
      <c r="B12">
        <f>-B11</f>
        <v>4.4749999999999996</v>
      </c>
    </row>
    <row r="16" spans="1:4" x14ac:dyDescent="0.2">
      <c r="A16" s="14" t="s">
        <v>329</v>
      </c>
      <c r="B16" s="14" t="s">
        <v>330</v>
      </c>
      <c r="C16" s="14" t="s">
        <v>251</v>
      </c>
      <c r="D16" s="14" t="s">
        <v>3</v>
      </c>
    </row>
    <row r="17" spans="1:4" x14ac:dyDescent="0.2">
      <c r="A17">
        <v>1</v>
      </c>
      <c r="B17">
        <v>-1.25</v>
      </c>
      <c r="C17">
        <v>1</v>
      </c>
      <c r="D17" s="38" t="s">
        <v>331</v>
      </c>
    </row>
    <row r="18" spans="1:4" x14ac:dyDescent="0.2">
      <c r="A18">
        <v>2</v>
      </c>
      <c r="B18">
        <f>(A18-A$17)*1.25+B$17</f>
        <v>0</v>
      </c>
      <c r="C18">
        <f>C17-2</f>
        <v>-1</v>
      </c>
      <c r="D18" s="38" t="s">
        <v>331</v>
      </c>
    </row>
    <row r="19" spans="1:4" x14ac:dyDescent="0.2">
      <c r="A19">
        <v>3</v>
      </c>
      <c r="B19">
        <f>(A19-A$17)*1.25+B$17</f>
        <v>1.25</v>
      </c>
      <c r="C19">
        <f>C17</f>
        <v>1</v>
      </c>
      <c r="D19" s="38" t="s">
        <v>331</v>
      </c>
    </row>
    <row r="20" spans="1:4" x14ac:dyDescent="0.2">
      <c r="D20" s="38"/>
    </row>
    <row r="21" spans="1:4" x14ac:dyDescent="0.2">
      <c r="D21" s="38"/>
    </row>
    <row r="22" spans="1:4" x14ac:dyDescent="0.2">
      <c r="A22" s="38" t="s">
        <v>332</v>
      </c>
      <c r="B22">
        <f>-9.5/2</f>
        <v>-4.75</v>
      </c>
      <c r="D22" s="38"/>
    </row>
    <row r="23" spans="1:4" x14ac:dyDescent="0.2">
      <c r="A23" s="38" t="s">
        <v>333</v>
      </c>
      <c r="B23">
        <f>-B22</f>
        <v>4.75</v>
      </c>
    </row>
    <row r="24" spans="1:4" x14ac:dyDescent="0.2">
      <c r="A24" s="38" t="s">
        <v>334</v>
      </c>
      <c r="B24">
        <f>-5.2/2</f>
        <v>-2.6</v>
      </c>
    </row>
    <row r="25" spans="1:4" x14ac:dyDescent="0.2">
      <c r="A25" s="38" t="s">
        <v>335</v>
      </c>
      <c r="B25">
        <f>-B24</f>
        <v>2.6</v>
      </c>
    </row>
    <row r="27" spans="1:4" x14ac:dyDescent="0.2">
      <c r="B27">
        <v>84.86</v>
      </c>
      <c r="C27" s="38" t="s">
        <v>331</v>
      </c>
    </row>
    <row r="28" spans="1:4" x14ac:dyDescent="0.2">
      <c r="B28">
        <f>B27/25.4</f>
        <v>3.3409448818897638</v>
      </c>
    </row>
    <row r="29" spans="1:4" x14ac:dyDescent="0.2">
      <c r="B29">
        <v>21.79</v>
      </c>
      <c r="C29" s="38" t="s">
        <v>331</v>
      </c>
    </row>
    <row r="30" spans="1:4" x14ac:dyDescent="0.2">
      <c r="B30">
        <f>B29/25.4</f>
        <v>0.85787401574803146</v>
      </c>
    </row>
  </sheetData>
  <pageMargins left="0.7" right="0.7" top="0.75" bottom="0.75" header="0.3" footer="0.3"/>
  <pageSetup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"/>
  <sheetViews>
    <sheetView tabSelected="1" zoomScale="85" zoomScaleNormal="85" workbookViewId="0">
      <selection activeCell="F24" sqref="F24"/>
    </sheetView>
  </sheetViews>
  <sheetFormatPr defaultRowHeight="12.75" x14ac:dyDescent="0.2"/>
  <cols>
    <col min="1" max="1" width="13.140625" bestFit="1" customWidth="1"/>
    <col min="2" max="2" width="14.5703125" bestFit="1" customWidth="1"/>
    <col min="3" max="3" width="14.5703125" customWidth="1"/>
    <col min="4" max="4" width="16.5703125" bestFit="1" customWidth="1"/>
    <col min="5" max="5" width="11.85546875" bestFit="1" customWidth="1"/>
    <col min="6" max="8" width="12" bestFit="1" customWidth="1"/>
    <col min="9" max="9" width="2.85546875" customWidth="1"/>
    <col min="10" max="12" width="12.28515625" bestFit="1" customWidth="1"/>
    <col min="13" max="13" width="5.42578125" bestFit="1" customWidth="1"/>
  </cols>
  <sheetData>
    <row r="1" spans="1:13" x14ac:dyDescent="0.2">
      <c r="A1" s="39" t="s">
        <v>317</v>
      </c>
      <c r="B1" s="39" t="s">
        <v>336</v>
      </c>
      <c r="C1" s="39" t="s">
        <v>1</v>
      </c>
      <c r="D1" s="39" t="s">
        <v>347</v>
      </c>
      <c r="E1" s="39" t="s">
        <v>3</v>
      </c>
      <c r="F1" s="39" t="s">
        <v>337</v>
      </c>
      <c r="G1" s="39" t="s">
        <v>338</v>
      </c>
      <c r="H1" s="39" t="s">
        <v>339</v>
      </c>
      <c r="I1" s="39"/>
      <c r="J1" s="39" t="s">
        <v>337</v>
      </c>
      <c r="K1" s="39" t="s">
        <v>338</v>
      </c>
      <c r="L1" s="39" t="s">
        <v>339</v>
      </c>
      <c r="M1" s="39" t="s">
        <v>3</v>
      </c>
    </row>
    <row r="2" spans="1:13" x14ac:dyDescent="0.2">
      <c r="A2" t="s">
        <v>340</v>
      </c>
      <c r="B2" t="s">
        <v>341</v>
      </c>
      <c r="C2" t="s">
        <v>342</v>
      </c>
      <c r="D2" s="38" t="s">
        <v>346</v>
      </c>
      <c r="E2" t="s">
        <v>331</v>
      </c>
      <c r="F2">
        <v>0.27</v>
      </c>
      <c r="G2">
        <v>0.255</v>
      </c>
      <c r="H2">
        <v>0.19700000000000001</v>
      </c>
      <c r="J2" s="2">
        <f t="shared" ref="J2:L7" si="0">F2*VLOOKUP($E2,$E$22:$F$24,2)</f>
        <v>1.062992125984252E-2</v>
      </c>
      <c r="K2" s="2">
        <f t="shared" si="0"/>
        <v>1.0039370078740157E-2</v>
      </c>
      <c r="L2" s="2">
        <f t="shared" si="0"/>
        <v>7.7559055118110237E-3</v>
      </c>
      <c r="M2" t="str">
        <f t="shared" ref="M2:M7" si="1">IF(E2=$E$24,$E$23,$E$24)</f>
        <v>inch</v>
      </c>
    </row>
    <row r="3" spans="1:13" x14ac:dyDescent="0.2">
      <c r="A3" s="38" t="s">
        <v>348</v>
      </c>
      <c r="B3" s="38" t="s">
        <v>349</v>
      </c>
      <c r="C3" s="38" t="s">
        <v>350</v>
      </c>
      <c r="D3" s="38" t="s">
        <v>346</v>
      </c>
      <c r="E3" s="38" t="s">
        <v>331</v>
      </c>
      <c r="F3">
        <v>6</v>
      </c>
      <c r="G3">
        <v>4</v>
      </c>
      <c r="H3">
        <v>0.75</v>
      </c>
      <c r="J3" s="2">
        <f t="shared" si="0"/>
        <v>0.23622047244094488</v>
      </c>
      <c r="K3" s="2">
        <f t="shared" si="0"/>
        <v>0.15748031496062992</v>
      </c>
      <c r="L3" s="2">
        <f t="shared" si="0"/>
        <v>2.952755905511811E-2</v>
      </c>
      <c r="M3" t="str">
        <f t="shared" si="1"/>
        <v>inch</v>
      </c>
    </row>
    <row r="4" spans="1:13" x14ac:dyDescent="0.2">
      <c r="A4" s="38" t="s">
        <v>351</v>
      </c>
      <c r="B4" s="38" t="s">
        <v>354</v>
      </c>
      <c r="C4" s="38" t="s">
        <v>352</v>
      </c>
      <c r="D4" s="38" t="s">
        <v>353</v>
      </c>
      <c r="E4" s="38" t="s">
        <v>331</v>
      </c>
      <c r="F4">
        <v>9.6999999999999993</v>
      </c>
      <c r="G4">
        <v>6.58</v>
      </c>
      <c r="H4">
        <v>2.2999999999999998</v>
      </c>
      <c r="J4" s="2">
        <f t="shared" si="0"/>
        <v>0.38188976377952755</v>
      </c>
      <c r="K4" s="2">
        <f t="shared" si="0"/>
        <v>0.25905511811023624</v>
      </c>
      <c r="L4" s="2">
        <f t="shared" si="0"/>
        <v>9.0551181102362197E-2</v>
      </c>
      <c r="M4" t="str">
        <f t="shared" si="1"/>
        <v>inch</v>
      </c>
    </row>
    <row r="5" spans="1:13" x14ac:dyDescent="0.2">
      <c r="A5" s="38" t="s">
        <v>355</v>
      </c>
      <c r="B5" s="38" t="s">
        <v>356</v>
      </c>
      <c r="C5" s="38" t="s">
        <v>357</v>
      </c>
      <c r="D5" s="38" t="s">
        <v>358</v>
      </c>
      <c r="E5" s="38" t="s">
        <v>331</v>
      </c>
      <c r="F5">
        <v>18.211799999999997</v>
      </c>
      <c r="G5">
        <v>5.3339999999999996</v>
      </c>
      <c r="H5">
        <v>9.6519999999999992</v>
      </c>
      <c r="J5" s="2">
        <f t="shared" si="0"/>
        <v>0.71699999999999986</v>
      </c>
      <c r="K5" s="2">
        <f t="shared" si="0"/>
        <v>0.21</v>
      </c>
      <c r="L5" s="2">
        <f t="shared" si="0"/>
        <v>0.37999999999999995</v>
      </c>
      <c r="M5" t="str">
        <f t="shared" si="1"/>
        <v>inch</v>
      </c>
    </row>
    <row r="6" spans="1:13" x14ac:dyDescent="0.2">
      <c r="A6" s="38" t="s">
        <v>355</v>
      </c>
      <c r="B6" s="38" t="s">
        <v>360</v>
      </c>
      <c r="C6" s="38" t="s">
        <v>361</v>
      </c>
      <c r="D6" s="38" t="s">
        <v>362</v>
      </c>
      <c r="E6" s="38" t="s">
        <v>331</v>
      </c>
      <c r="F6">
        <v>18.211799999999997</v>
      </c>
      <c r="G6">
        <v>13.715999999999999</v>
      </c>
      <c r="H6">
        <v>9.6519999999999992</v>
      </c>
      <c r="J6" s="2">
        <f t="shared" si="0"/>
        <v>0.71699999999999986</v>
      </c>
      <c r="K6" s="2">
        <f t="shared" si="0"/>
        <v>0.53999999999999992</v>
      </c>
      <c r="L6" s="2">
        <f t="shared" si="0"/>
        <v>0.37999999999999995</v>
      </c>
      <c r="M6" t="str">
        <f t="shared" si="1"/>
        <v>inch</v>
      </c>
    </row>
    <row r="7" spans="1:13" x14ac:dyDescent="0.2">
      <c r="A7" s="38" t="s">
        <v>355</v>
      </c>
      <c r="B7" s="38" t="s">
        <v>363</v>
      </c>
      <c r="J7" s="2" t="e">
        <f t="shared" si="0"/>
        <v>#N/A</v>
      </c>
      <c r="K7" s="2" t="e">
        <f t="shared" si="0"/>
        <v>#N/A</v>
      </c>
      <c r="L7" s="2" t="e">
        <f t="shared" si="0"/>
        <v>#N/A</v>
      </c>
      <c r="M7" t="str">
        <f t="shared" si="1"/>
        <v>mm</v>
      </c>
    </row>
    <row r="8" spans="1:13" x14ac:dyDescent="0.2">
      <c r="A8" s="38" t="s">
        <v>364</v>
      </c>
      <c r="B8" s="38" t="s">
        <v>365</v>
      </c>
      <c r="C8" s="38" t="s">
        <v>366</v>
      </c>
      <c r="D8" s="38" t="s">
        <v>367</v>
      </c>
      <c r="E8" s="38" t="s">
        <v>331</v>
      </c>
      <c r="F8">
        <v>14</v>
      </c>
      <c r="G8">
        <v>14</v>
      </c>
      <c r="H8">
        <v>7.7</v>
      </c>
      <c r="J8" s="2">
        <f t="shared" ref="J8:J15" si="2">F8*VLOOKUP($E8,$E$22:$F$24,2)</f>
        <v>0.55118110236220474</v>
      </c>
      <c r="K8" s="2">
        <f t="shared" ref="K8:K15" si="3">G8*VLOOKUP($E8,$E$22:$F$24,2)</f>
        <v>0.55118110236220474</v>
      </c>
      <c r="L8" s="2">
        <f t="shared" ref="L8:L15" si="4">H8*VLOOKUP($E8,$E$22:$F$24,2)</f>
        <v>0.30314960629921262</v>
      </c>
      <c r="M8" t="str">
        <f t="shared" ref="M8:M15" si="5">IF(E8=$E$24,$E$23,$E$24)</f>
        <v>inch</v>
      </c>
    </row>
    <row r="9" spans="1:13" x14ac:dyDescent="0.2">
      <c r="A9" s="38" t="s">
        <v>355</v>
      </c>
      <c r="B9" s="38" t="s">
        <v>368</v>
      </c>
      <c r="C9" s="38" t="s">
        <v>369</v>
      </c>
      <c r="D9" s="38" t="s">
        <v>370</v>
      </c>
      <c r="E9" s="38" t="s">
        <v>331</v>
      </c>
      <c r="F9">
        <v>9.5</v>
      </c>
      <c r="G9">
        <v>5</v>
      </c>
      <c r="H9">
        <v>9.8000000000000007</v>
      </c>
      <c r="J9" s="2">
        <f t="shared" si="2"/>
        <v>0.37401574803149606</v>
      </c>
      <c r="K9" s="2">
        <f t="shared" si="3"/>
        <v>0.19685039370078738</v>
      </c>
      <c r="L9" s="2">
        <f t="shared" si="4"/>
        <v>0.38582677165354334</v>
      </c>
      <c r="M9" t="str">
        <f t="shared" si="5"/>
        <v>inch</v>
      </c>
    </row>
    <row r="10" spans="1:13" x14ac:dyDescent="0.2">
      <c r="A10" s="38" t="s">
        <v>355</v>
      </c>
      <c r="B10" s="38" t="s">
        <v>371</v>
      </c>
      <c r="C10" s="38" t="s">
        <v>372</v>
      </c>
      <c r="D10" s="38" t="s">
        <v>373</v>
      </c>
      <c r="E10" s="38" t="s">
        <v>331</v>
      </c>
      <c r="F10">
        <v>13.24</v>
      </c>
      <c r="G10">
        <v>5</v>
      </c>
      <c r="H10">
        <v>9.8000000000000007</v>
      </c>
      <c r="J10" s="2">
        <f t="shared" si="2"/>
        <v>0.52125984251968505</v>
      </c>
      <c r="K10" s="2">
        <f t="shared" si="3"/>
        <v>0.19685039370078738</v>
      </c>
      <c r="L10" s="2">
        <f t="shared" si="4"/>
        <v>0.38582677165354334</v>
      </c>
      <c r="M10" t="str">
        <f t="shared" si="5"/>
        <v>inch</v>
      </c>
    </row>
    <row r="11" spans="1:13" x14ac:dyDescent="0.2">
      <c r="J11" s="2" t="e">
        <f t="shared" si="2"/>
        <v>#N/A</v>
      </c>
      <c r="K11" s="2" t="e">
        <f t="shared" si="3"/>
        <v>#N/A</v>
      </c>
      <c r="L11" s="2" t="e">
        <f t="shared" si="4"/>
        <v>#N/A</v>
      </c>
      <c r="M11" t="str">
        <f t="shared" si="5"/>
        <v>mm</v>
      </c>
    </row>
    <row r="12" spans="1:13" x14ac:dyDescent="0.2">
      <c r="J12" s="2" t="e">
        <f t="shared" si="2"/>
        <v>#N/A</v>
      </c>
      <c r="K12" s="2" t="e">
        <f t="shared" si="3"/>
        <v>#N/A</v>
      </c>
      <c r="L12" s="2" t="e">
        <f t="shared" si="4"/>
        <v>#N/A</v>
      </c>
      <c r="M12" t="str">
        <f t="shared" si="5"/>
        <v>mm</v>
      </c>
    </row>
    <row r="13" spans="1:13" x14ac:dyDescent="0.2">
      <c r="J13" s="2" t="e">
        <f t="shared" si="2"/>
        <v>#N/A</v>
      </c>
      <c r="K13" s="2" t="e">
        <f t="shared" si="3"/>
        <v>#N/A</v>
      </c>
      <c r="L13" s="2" t="e">
        <f t="shared" si="4"/>
        <v>#N/A</v>
      </c>
      <c r="M13" t="str">
        <f t="shared" si="5"/>
        <v>mm</v>
      </c>
    </row>
    <row r="14" spans="1:13" x14ac:dyDescent="0.2">
      <c r="J14" s="2" t="e">
        <f t="shared" si="2"/>
        <v>#N/A</v>
      </c>
      <c r="K14" s="2" t="e">
        <f t="shared" si="3"/>
        <v>#N/A</v>
      </c>
      <c r="L14" s="2" t="e">
        <f t="shared" si="4"/>
        <v>#N/A</v>
      </c>
      <c r="M14" t="str">
        <f t="shared" si="5"/>
        <v>mm</v>
      </c>
    </row>
    <row r="15" spans="1:13" x14ac:dyDescent="0.2">
      <c r="A15" s="38" t="s">
        <v>359</v>
      </c>
      <c r="J15" s="2" t="e">
        <f t="shared" si="2"/>
        <v>#N/A</v>
      </c>
      <c r="K15" s="2" t="e">
        <f t="shared" si="3"/>
        <v>#N/A</v>
      </c>
      <c r="L15" s="2" t="e">
        <f t="shared" si="4"/>
        <v>#N/A</v>
      </c>
      <c r="M15" t="str">
        <f t="shared" si="5"/>
        <v>mm</v>
      </c>
    </row>
    <row r="22" spans="5:6" x14ac:dyDescent="0.2">
      <c r="E22" s="39" t="s">
        <v>343</v>
      </c>
      <c r="F22" s="39" t="s">
        <v>345</v>
      </c>
    </row>
    <row r="23" spans="5:6" x14ac:dyDescent="0.2">
      <c r="E23" s="14" t="s">
        <v>344</v>
      </c>
      <c r="F23">
        <f>1/F24</f>
        <v>25.4</v>
      </c>
    </row>
    <row r="24" spans="5:6" x14ac:dyDescent="0.2">
      <c r="E24" s="14" t="s">
        <v>331</v>
      </c>
      <c r="F24" s="2">
        <f>1/25.4</f>
        <v>3.937007874015748E-2</v>
      </c>
    </row>
  </sheetData>
  <dataValidations count="1">
    <dataValidation type="list" allowBlank="1" showInputMessage="1" showErrorMessage="1" sqref="E2:E15">
      <formula1>$E$23:$E$24</formula1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BOM</vt:lpstr>
      <vt:lpstr>Block Cost</vt:lpstr>
      <vt:lpstr>Battery Sense</vt:lpstr>
      <vt:lpstr>LED Backlight</vt:lpstr>
      <vt:lpstr>Mechanical</vt:lpstr>
      <vt:lpstr>Power Supply Loads</vt:lpstr>
      <vt:lpstr>Analog Power Supply</vt:lpstr>
      <vt:lpstr>Motor</vt:lpstr>
      <vt:lpstr>Components</vt:lpstr>
      <vt:lpstr>Acoustic</vt:lpstr>
      <vt:lpstr>LIN Xcvr</vt:lpstr>
      <vt:lpstr>Ribbon Con</vt:lpstr>
      <vt:lpstr>Physical Pkg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David Smart</cp:lastModifiedBy>
  <dcterms:created xsi:type="dcterms:W3CDTF">1996-10-14T23:33:28Z</dcterms:created>
  <dcterms:modified xsi:type="dcterms:W3CDTF">2012-02-12T23:47:40Z</dcterms:modified>
</cp:coreProperties>
</file>