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hidePivotFieldList="1" defaultThemeVersion="124226"/>
  <bookViews>
    <workbookView xWindow="120" yWindow="240" windowWidth="7440" windowHeight="5940" tabRatio="890"/>
  </bookViews>
  <sheets>
    <sheet name="BOM" sheetId="13" r:id="rId1"/>
    <sheet name="Mechanical" sheetId="6" r:id="rId2"/>
    <sheet name="Block Cost" sheetId="10" r:id="rId3"/>
    <sheet name="Battery Sense" sheetId="4" r:id="rId4"/>
    <sheet name="LED Backlight" sheetId="1" r:id="rId5"/>
    <sheet name="Prog" sheetId="17" r:id="rId6"/>
    <sheet name="Power Supply Loads" sheetId="7" r:id="rId7"/>
    <sheet name="PIC Load Dump" sheetId="16" r:id="rId8"/>
    <sheet name="Analog Power Supply" sheetId="5" r:id="rId9"/>
    <sheet name="Switching Supply" sheetId="18" r:id="rId10"/>
    <sheet name="Motor" sheetId="9" r:id="rId11"/>
    <sheet name="Components" sheetId="8" r:id="rId12"/>
    <sheet name="Acoustic" sheetId="12" r:id="rId13"/>
    <sheet name="LIN Xcvr" sheetId="11" r:id="rId14"/>
    <sheet name="Ribbon Con" sheetId="14" r:id="rId15"/>
  </sheets>
  <definedNames>
    <definedName name="_xlnm._FilterDatabase" localSheetId="0" hidden="1">BOM!$A$1:$J$48</definedName>
  </definedNames>
  <calcPr calcId="145621"/>
  <pivotCaches>
    <pivotCache cacheId="5" r:id="rId16"/>
  </pivotCaches>
</workbook>
</file>

<file path=xl/calcChain.xml><?xml version="1.0" encoding="utf-8"?>
<calcChain xmlns="http://schemas.openxmlformats.org/spreadsheetml/2006/main">
  <c r="P41" i="13" l="1"/>
  <c r="Q41" i="13"/>
  <c r="R41" i="13"/>
  <c r="S41" i="13"/>
  <c r="B13" i="18"/>
  <c r="B15" i="18" s="1"/>
  <c r="P45" i="13"/>
  <c r="Q45" i="13"/>
  <c r="R45" i="13"/>
  <c r="S45" i="13"/>
  <c r="T45" i="13"/>
  <c r="B20" i="18" l="1"/>
  <c r="B22" i="18" s="1"/>
  <c r="B16" i="18"/>
  <c r="B19" i="18"/>
  <c r="T18" i="13"/>
  <c r="T39" i="13"/>
  <c r="T3" i="13"/>
  <c r="T43" i="13"/>
  <c r="T4" i="13"/>
  <c r="T30" i="13"/>
  <c r="T50" i="13"/>
  <c r="T5" i="13"/>
  <c r="T19" i="13"/>
  <c r="T6" i="13"/>
  <c r="T7" i="13"/>
  <c r="T8" i="13"/>
  <c r="T31" i="13"/>
  <c r="T20" i="13"/>
  <c r="T9" i="13"/>
  <c r="T21" i="13"/>
  <c r="T32" i="13"/>
  <c r="T44" i="13"/>
  <c r="T40" i="13"/>
  <c r="T22" i="13"/>
  <c r="T10" i="13"/>
  <c r="T51" i="13"/>
  <c r="T23" i="13"/>
  <c r="T24" i="13"/>
  <c r="T41" i="13"/>
  <c r="T35" i="13"/>
  <c r="T25" i="13"/>
  <c r="T34" i="13"/>
  <c r="T26" i="13"/>
  <c r="T11" i="13"/>
  <c r="T27" i="13"/>
  <c r="T46" i="13"/>
  <c r="T28" i="13"/>
  <c r="T36" i="13"/>
  <c r="T12" i="13"/>
  <c r="T13" i="13"/>
  <c r="T14" i="13"/>
  <c r="T15" i="13"/>
  <c r="T37" i="13"/>
  <c r="T38" i="13"/>
  <c r="T16" i="13"/>
  <c r="T42" i="13"/>
  <c r="T29" i="13"/>
  <c r="T17" i="13"/>
  <c r="T33" i="13"/>
  <c r="T48" i="13"/>
  <c r="T49" i="13"/>
  <c r="T47" i="13"/>
  <c r="T52" i="13"/>
  <c r="T53" i="13"/>
  <c r="T54" i="13"/>
  <c r="T55" i="13"/>
  <c r="T56" i="13"/>
  <c r="T57" i="13"/>
  <c r="T58" i="13"/>
  <c r="T59" i="13"/>
  <c r="T60" i="13"/>
  <c r="T2" i="13"/>
  <c r="S48" i="13"/>
  <c r="S49" i="13"/>
  <c r="S47" i="13"/>
  <c r="P52" i="13"/>
  <c r="Q52" i="13"/>
  <c r="R52" i="13"/>
  <c r="S52" i="13"/>
  <c r="P53" i="13"/>
  <c r="Q53" i="13"/>
  <c r="R53" i="13"/>
  <c r="S53" i="13"/>
  <c r="P54" i="13"/>
  <c r="Q54" i="13"/>
  <c r="R54" i="13"/>
  <c r="S54" i="13"/>
  <c r="P55" i="13"/>
  <c r="Q55" i="13"/>
  <c r="R55" i="13"/>
  <c r="S55" i="13"/>
  <c r="P56" i="13"/>
  <c r="Q56" i="13"/>
  <c r="R56" i="13"/>
  <c r="S56" i="13"/>
  <c r="P57" i="13"/>
  <c r="Q57" i="13"/>
  <c r="R57" i="13"/>
  <c r="S57" i="13"/>
  <c r="P58" i="13"/>
  <c r="Q58" i="13"/>
  <c r="R58" i="13"/>
  <c r="S58" i="13"/>
  <c r="P59" i="13"/>
  <c r="Q59" i="13"/>
  <c r="R59" i="13"/>
  <c r="S59" i="13"/>
  <c r="P60" i="13"/>
  <c r="Q60" i="13"/>
  <c r="R60" i="13"/>
  <c r="S60" i="13"/>
  <c r="D47" i="13"/>
  <c r="D49" i="13"/>
  <c r="D48" i="13"/>
  <c r="P16" i="13"/>
  <c r="B4" i="17"/>
  <c r="S25" i="13"/>
  <c r="S26" i="13"/>
  <c r="P11" i="13"/>
  <c r="Q11" i="13"/>
  <c r="R11" i="13"/>
  <c r="S11" i="13"/>
  <c r="S27" i="13"/>
  <c r="S46" i="13"/>
  <c r="P28" i="13"/>
  <c r="Q28" i="13"/>
  <c r="R28" i="13"/>
  <c r="S28" i="13"/>
  <c r="S36" i="13"/>
  <c r="P12" i="13"/>
  <c r="Q12" i="13"/>
  <c r="R12" i="13"/>
  <c r="S12" i="13"/>
  <c r="P13" i="13"/>
  <c r="Q13" i="13"/>
  <c r="R13" i="13"/>
  <c r="S13" i="13"/>
  <c r="P14" i="13"/>
  <c r="Q14" i="13"/>
  <c r="R14" i="13"/>
  <c r="S14" i="13"/>
  <c r="P15" i="13"/>
  <c r="Q15" i="13"/>
  <c r="R15" i="13"/>
  <c r="S15" i="13"/>
  <c r="P37" i="13"/>
  <c r="Q37" i="13"/>
  <c r="R37" i="13"/>
  <c r="S37" i="13"/>
  <c r="P38" i="13"/>
  <c r="Q38" i="13"/>
  <c r="R38" i="13"/>
  <c r="S38" i="13"/>
  <c r="Q16" i="13"/>
  <c r="R16" i="13"/>
  <c r="S16" i="13"/>
  <c r="S42" i="13"/>
  <c r="B26" i="1"/>
  <c r="B24" i="1"/>
  <c r="B22" i="1"/>
  <c r="B20" i="1"/>
  <c r="S29" i="13" l="1"/>
  <c r="D5" i="13" l="1"/>
  <c r="D13" i="13"/>
  <c r="D12" i="13"/>
  <c r="D42" i="13"/>
  <c r="D41" i="13"/>
  <c r="D39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4" i="13"/>
  <c r="D46" i="13"/>
  <c r="D43" i="13"/>
  <c r="D51" i="13"/>
  <c r="D50" i="13"/>
  <c r="D33" i="13"/>
  <c r="D36" i="13"/>
  <c r="D30" i="13"/>
  <c r="D31" i="13"/>
  <c r="D34" i="13"/>
  <c r="D38" i="13"/>
  <c r="D37" i="13"/>
  <c r="D32" i="13"/>
  <c r="D35" i="13"/>
  <c r="D23" i="13"/>
  <c r="D24" i="13"/>
  <c r="D25" i="13"/>
  <c r="D28" i="13"/>
  <c r="D26" i="13"/>
  <c r="D29" i="13"/>
  <c r="D27" i="13"/>
  <c r="D40" i="13"/>
  <c r="P40" i="13"/>
  <c r="Q40" i="13"/>
  <c r="R20" i="13"/>
  <c r="Q18" i="13"/>
  <c r="R18" i="13"/>
  <c r="P21" i="13"/>
  <c r="Q21" i="13"/>
  <c r="R21" i="13"/>
  <c r="P4" i="13"/>
  <c r="Q4" i="13"/>
  <c r="R4" i="13"/>
  <c r="P7" i="13"/>
  <c r="Q7" i="13"/>
  <c r="R7" i="13"/>
  <c r="P8" i="13"/>
  <c r="Q8" i="13"/>
  <c r="R8" i="13"/>
  <c r="P3" i="13"/>
  <c r="Q3" i="13"/>
  <c r="R3" i="13"/>
  <c r="P2" i="13"/>
  <c r="Q2" i="13"/>
  <c r="R2" i="13"/>
  <c r="P6" i="13"/>
  <c r="Q6" i="13"/>
  <c r="R6" i="13"/>
  <c r="P9" i="13"/>
  <c r="Q9" i="13"/>
  <c r="R9" i="13"/>
  <c r="P44" i="13"/>
  <c r="Q44" i="13"/>
  <c r="R44" i="13"/>
  <c r="P43" i="13"/>
  <c r="Q43" i="13"/>
  <c r="R43" i="13"/>
  <c r="R51" i="13"/>
  <c r="P50" i="13"/>
  <c r="Q50" i="13"/>
  <c r="R50" i="13"/>
  <c r="P33" i="13"/>
  <c r="Q33" i="13"/>
  <c r="R33" i="13"/>
  <c r="P30" i="13"/>
  <c r="Q30" i="13"/>
  <c r="R30" i="13"/>
  <c r="P31" i="13"/>
  <c r="Q31" i="13"/>
  <c r="R31" i="13"/>
  <c r="Q34" i="13"/>
  <c r="R34" i="13"/>
  <c r="P32" i="13"/>
  <c r="Q32" i="13"/>
  <c r="R32" i="13"/>
  <c r="P35" i="13"/>
  <c r="Q35" i="13"/>
  <c r="R35" i="13"/>
  <c r="S22" i="13"/>
  <c r="S20" i="13"/>
  <c r="S18" i="13"/>
  <c r="S21" i="13"/>
  <c r="S19" i="13"/>
  <c r="S4" i="13"/>
  <c r="S7" i="13"/>
  <c r="S8" i="13"/>
  <c r="S3" i="13"/>
  <c r="S10" i="13"/>
  <c r="S2" i="13"/>
  <c r="S17" i="13"/>
  <c r="S6" i="13"/>
  <c r="S9" i="13"/>
  <c r="S44" i="13"/>
  <c r="S43" i="13"/>
  <c r="S51" i="13"/>
  <c r="S50" i="13"/>
  <c r="S33" i="13"/>
  <c r="S30" i="13"/>
  <c r="S31" i="13"/>
  <c r="S34" i="13"/>
  <c r="S32" i="13"/>
  <c r="S35" i="13"/>
  <c r="S40" i="13"/>
  <c r="O8" i="6"/>
  <c r="O7" i="6"/>
  <c r="M3" i="6"/>
  <c r="M4" i="6"/>
  <c r="M5" i="6"/>
  <c r="M6" i="6"/>
  <c r="M7" i="6"/>
  <c r="M8" i="6"/>
  <c r="M9" i="6"/>
  <c r="M2" i="6"/>
  <c r="B67" i="13"/>
  <c r="P20" i="13" s="1"/>
  <c r="I18" i="5"/>
  <c r="B10" i="4"/>
  <c r="B9" i="4"/>
  <c r="P18" i="13" l="1"/>
  <c r="Q51" i="13"/>
  <c r="Q20" i="13"/>
  <c r="P51" i="13"/>
  <c r="P22" i="13"/>
  <c r="R48" i="13"/>
  <c r="Q27" i="13"/>
  <c r="Q36" i="13"/>
  <c r="P48" i="13"/>
  <c r="R27" i="13"/>
  <c r="R36" i="13"/>
  <c r="Q42" i="13"/>
  <c r="Q47" i="13"/>
  <c r="P49" i="13"/>
  <c r="P42" i="13"/>
  <c r="Q49" i="13"/>
  <c r="P29" i="13"/>
  <c r="P46" i="13"/>
  <c r="R42" i="13"/>
  <c r="R47" i="13"/>
  <c r="Q48" i="13"/>
  <c r="P27" i="13"/>
  <c r="R49" i="13"/>
  <c r="Q46" i="13"/>
  <c r="R46" i="13"/>
  <c r="P47" i="13"/>
  <c r="P36" i="13"/>
  <c r="Q24" i="13"/>
  <c r="R40" i="13"/>
  <c r="Q23" i="13"/>
  <c r="R22" i="13"/>
  <c r="P24" i="13"/>
  <c r="Q22" i="13"/>
  <c r="P34" i="13"/>
  <c r="B66" i="13"/>
  <c r="Q26" i="13"/>
  <c r="Q25" i="13"/>
  <c r="R26" i="13"/>
  <c r="P25" i="13"/>
  <c r="P26" i="13"/>
  <c r="R25" i="13"/>
  <c r="Q29" i="13"/>
  <c r="R29" i="13"/>
  <c r="P23" i="13"/>
  <c r="R23" i="13"/>
  <c r="Q17" i="13"/>
  <c r="R19" i="13"/>
  <c r="Q19" i="13"/>
  <c r="R17" i="13"/>
  <c r="S23" i="13"/>
  <c r="P19" i="13"/>
  <c r="R10" i="13"/>
  <c r="R24" i="13"/>
  <c r="Q10" i="13"/>
  <c r="S24" i="13"/>
  <c r="P17" i="13"/>
  <c r="P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  <c r="B5" i="18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charset val="1"/>
          </rPr>
          <t>David Smart:</t>
        </r>
        <r>
          <rPr>
            <sz val="9"/>
            <color indexed="81"/>
            <rFont val="Tahoma"/>
            <charset val="1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<sst xmlns="http://schemas.openxmlformats.org/spreadsheetml/2006/main" count="1024" uniqueCount="577">
  <si>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</si>
  <si>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</si>
  <si>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</si>
  <si>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</si>
  <si>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</si>
  <si>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</si>
  <si>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</si>
  <si>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</si>
  <si>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</si>
  <si>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</si>
  <si>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</si>
  <si>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</si>
  <si>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</si>
  <si>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</si>
  <si>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</si>
  <si>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</si>
  <si>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</si>
  <si>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</si>
  <si>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</si>
  <si>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</si>
  <si>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</si>
  <si>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</si>
  <si>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</si>
  <si>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</si>
  <si>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</si>
  <si>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</si>
  <si>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</si>
  <si>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</si>
  <si>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</si>
  <si>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</si>
  <si>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</si>
  <si>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</si>
  <si>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</si>
  <si>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</si>
  <si>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</si>
  <si>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</si>
  <si>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</si>
  <si>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</si>
  <si>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</si>
  <si>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</si>
  <si>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</si>
  <si>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</si>
  <si>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</si>
  <si>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</si>
  <si>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</si>
  <si>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</si>
  <si>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</si>
  <si>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</si>
  <si>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</si>
  <si>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</si>
  <si>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</si>
  <si>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</si>
  <si>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</si>
  <si>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</si>
  <si>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</si>
  <si>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</si>
  <si>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</si>
  <si>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</si>
  <si>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</si>
  <si>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</si>
  <si>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</si>
  <si>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</si>
  <si>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</si>
  <si>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</si>
  <si>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</si>
  <si>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</si>
  <si>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</si>
  <si>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</si>
  <si>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</si>
  <si>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</si>
  <si>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</si>
  <si>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</si>
  <si>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</si>
  <si>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</si>
  <si>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</si>
  <si>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</si>
  <si>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</si>
  <si>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</si>
  <si>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</si>
  <si>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</si>
  <si>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</si>
  <si>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</si>
  <si>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</si>
  <si>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</si>
  <si>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</si>
  <si>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</si>
  <si>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</si>
  <si>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</si>
  <si>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</si>
  <si>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</si>
  <si>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</si>
  <si>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</si>
  <si>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</si>
  <si>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</si>
  <si>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</si>
  <si>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</si>
  <si>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</si>
  <si>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</si>
  <si>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</si>
  <si>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</si>
  <si>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</si>
  <si>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</si>
  <si>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</si>
  <si>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</si>
  <si>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</si>
  <si>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</si>
  <si>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</si>
  <si>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</si>
  <si>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</si>
  <si>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</si>
  <si>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</si>
  <si>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</si>
  <si>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</si>
  <si>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</si>
  <si>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</si>
  <si>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</si>
  <si>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</si>
  <si>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</si>
  <si>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</si>
  <si>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</si>
  <si>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</si>
  <si>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</si>
  <si>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</si>
  <si>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</si>
  <si>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</si>
  <si>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</si>
  <si>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</si>
  <si>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</si>
  <si>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</si>
  <si>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</si>
  <si>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</si>
  <si>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</si>
  <si>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</si>
  <si>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</si>
  <si>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</si>
  <si>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</si>
  <si>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</si>
  <si>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</si>
  <si>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</si>
  <si>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</si>
  <si>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</si>
  <si>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</si>
  <si>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</si>
  <si>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</si>
  <si>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</si>
  <si>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</si>
  <si>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</si>
  <si>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</si>
  <si>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</si>
  <si>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</si>
  <si>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</si>
  <si>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</si>
  <si>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</si>
  <si>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</si>
  <si>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</si>
  <si>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</si>
  <si>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</si>
  <si>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</si>
  <si>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</si>
  <si>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</si>
  <si>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</si>
  <si>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</si>
  <si>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</si>
  <si>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</si>
  <si>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</si>
  <si>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</si>
  <si>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</si>
  <si>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</si>
  <si>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</si>
  <si>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</si>
  <si>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</si>
  <si>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</si>
  <si>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</si>
  <si>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</si>
  <si>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</si>
  <si>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</si>
  <si>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</si>
  <si>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</si>
  <si>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</si>
  <si>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</si>
  <si>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</si>
  <si>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</si>
  <si>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</si>
  <si>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</si>
  <si>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</si>
  <si>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</si>
  <si>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</si>
  <si>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</si>
  <si>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</si>
  <si>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</si>
  <si>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</si>
  <si>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</si>
  <si>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</si>
  <si>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</si>
  <si>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</si>
  <si>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</si>
  <si>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</si>
  <si>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</si>
  <si>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</si>
  <si>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</si>
  <si>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</si>
  <si>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</si>
  <si>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</si>
  <si>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</si>
  <si>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</si>
  <si>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</si>
  <si>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</si>
  <si>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</si>
  <si>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</si>
  <si>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</si>
  <si>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</si>
  <si>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</si>
  <si>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</si>
  <si>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</si>
  <si>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</si>
  <si>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</si>
  <si>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</si>
  <si>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</si>
  <si>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</si>
  <si>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</si>
  <si>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</si>
  <si>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</si>
  <si>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</si>
  <si>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</si>
  <si>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</si>
  <si>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</si>
  <si>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</si>
  <si>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</si>
  <si>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</si>
  <si>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</si>
  <si>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</si>
  <si>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</si>
  <si>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</si>
  <si>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</si>
  <si>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</si>
  <si>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</si>
  <si>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</si>
  <si>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</si>
  <si>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</si>
  <si>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</si>
  <si>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</si>
  <si>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</si>
  <si>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</si>
  <si>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</si>
  <si>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</si>
  <si>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</si>
  <si>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</si>
  <si>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</si>
  <si>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</si>
  <si>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</si>
  <si>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</si>
  <si>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</si>
  <si>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</si>
  <si>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</si>
  <si>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</si>
  <si>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</si>
  <si>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</si>
  <si>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</si>
  <si>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</si>
  <si>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</si>
  <si>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</si>
  <si>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</si>
  <si>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</si>
  <si>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</si>
  <si>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</si>
  <si>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</si>
  <si>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</si>
  <si>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</si>
  <si>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</si>
  <si>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</si>
  <si>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</si>
  <si>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</si>
  <si>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</si>
  <si>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</si>
  <si>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</si>
  <si>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</si>
  <si>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</si>
  <si>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</si>
  <si>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</si>
  <si>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</si>
  <si>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</si>
  <si>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</si>
  <si>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</si>
  <si>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</si>
  <si>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</si>
  <si>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</si>
  <si>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</si>
  <si>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</si>
  <si>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</si>
  <si>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</si>
  <si>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</si>
  <si>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</si>
  <si>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</si>
  <si>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</si>
  <si>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</si>
  <si>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</si>
  <si>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</si>
  <si>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</si>
  <si>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</si>
  <si>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</si>
  <si>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</si>
  <si>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</si>
  <si>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</si>
  <si>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</si>
  <si>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</si>
  <si>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</si>
  <si>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</si>
  <si>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</si>
  <si>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</si>
  <si>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</si>
  <si>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</si>
  <si>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</si>
  <si>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</si>
  <si>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</si>
  <si>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</si>
  <si>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</si>
  <si>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</si>
  <si>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</si>
  <si>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</si>
  <si>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</si>
  <si>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</si>
  <si>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</si>
  <si>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</si>
  <si>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</si>
  <si>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</si>
  <si>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</si>
  <si>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</si>
  <si>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</si>
  <si>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</si>
  <si>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</si>
  <si>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</si>
  <si>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</si>
  <si>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</si>
  <si>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</si>
  <si>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</si>
  <si>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</si>
  <si>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</si>
  <si>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Unit Lookup</t>
  </si>
  <si>
    <t>inch</t>
  </si>
  <si>
    <t>To alternate</t>
  </si>
  <si>
    <t>Switching P.S.</t>
  </si>
  <si>
    <t>Molex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</si>
  <si>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</si>
  <si>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</si>
  <si>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</si>
  <si>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</si>
  <si>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</si>
  <si>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</si>
  <si>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</si>
  <si>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</si>
  <si>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</si>
  <si>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</si>
  <si>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</si>
  <si>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</si>
  <si>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</si>
  <si>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</si>
  <si>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</si>
  <si>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</si>
  <si>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</si>
  <si>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</si>
  <si>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</si>
  <si>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</si>
  <si>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</si>
  <si>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</si>
  <si>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</si>
  <si>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</si>
  <si>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</si>
  <si>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</si>
  <si>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</si>
  <si>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</si>
  <si>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</si>
  <si>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</si>
  <si>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</si>
  <si>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</si>
  <si>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Designator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</si>
  <si>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</si>
  <si>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</si>
  <si>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</si>
  <si>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</si>
  <si>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</si>
  <si>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</si>
  <si>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</si>
  <si>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</si>
  <si>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</si>
  <si>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</si>
  <si>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</si>
  <si>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</si>
  <si>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</si>
  <si>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</si>
  <si>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</si>
  <si>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</si>
  <si>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</si>
  <si>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</si>
  <si>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</si>
  <si>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D1</t>
  </si>
  <si>
    <t>C6</t>
  </si>
  <si>
    <t>C10</t>
  </si>
  <si>
    <t>Motor</t>
  </si>
  <si>
    <t>TLE5205-2G</t>
  </si>
  <si>
    <t>IC1</t>
  </si>
  <si>
    <t>R27</t>
  </si>
  <si>
    <t>C13</t>
  </si>
  <si>
    <t>Wake Out</t>
  </si>
  <si>
    <t>BSP452</t>
  </si>
  <si>
    <t>IC6</t>
  </si>
  <si>
    <t>C16</t>
  </si>
  <si>
    <t>R30</t>
  </si>
  <si>
    <t>C15</t>
  </si>
  <si>
    <t>C5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</si>
  <si>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</si>
  <si>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</si>
  <si>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</si>
  <si>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</si>
  <si>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</si>
  <si>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</si>
  <si>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</si>
  <si>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</si>
  <si>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</si>
  <si>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</si>
  <si>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</si>
  <si>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</si>
  <si>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</si>
  <si>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</si>
  <si>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</si>
  <si>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</si>
  <si>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</si>
  <si>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</si>
  <si>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</si>
  <si>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</si>
  <si>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</si>
  <si>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</si>
  <si>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</si>
  <si>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</si>
  <si>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</si>
  <si>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</si>
  <si>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</si>
  <si>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IC3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</si>
  <si>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</si>
  <si>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</si>
  <si>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</si>
  <si>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</si>
  <si>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</si>
  <si>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</si>
  <si>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</si>
  <si>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3-pin ribbon connector</t>
  </si>
  <si>
    <t>J3</t>
  </si>
  <si>
    <t>6-pin ribbon connector</t>
  </si>
  <si>
    <t>Keypad</t>
  </si>
  <si>
    <t>Depth</t>
  </si>
  <si>
    <t>EEE-1JA220UP</t>
  </si>
  <si>
    <t>Microchip</t>
  </si>
  <si>
    <t>IC2</t>
  </si>
  <si>
    <t>R5</t>
  </si>
  <si>
    <t>Microprocessor</t>
  </si>
  <si>
    <t>0.47 uF</t>
  </si>
  <si>
    <t>Q2</t>
  </si>
  <si>
    <t>R28</t>
  </si>
  <si>
    <t>???R LED Current Limit</t>
  </si>
  <si>
    <t>R14</t>
  </si>
  <si>
    <t>C11</t>
  </si>
  <si>
    <t>0.1uF</t>
  </si>
  <si>
    <t>SG1</t>
  </si>
  <si>
    <t>R20, R21, R22, R23, R24</t>
  </si>
  <si>
    <t>R31</t>
  </si>
  <si>
    <t>R32</t>
  </si>
  <si>
    <t>C17</t>
  </si>
  <si>
    <t>0.68 uF</t>
  </si>
  <si>
    <t>LED Current at 12v</t>
  </si>
  <si>
    <t>Number LEDs</t>
  </si>
  <si>
    <t>qty</t>
  </si>
  <si>
    <t>Q2 collector current</t>
  </si>
  <si>
    <t>Q2 Beta</t>
  </si>
  <si>
    <t>Beta</t>
  </si>
  <si>
    <t>Q2 Base Drive</t>
  </si>
  <si>
    <t>Port Pin Vout High</t>
  </si>
  <si>
    <t>R14 Base Drive resistor</t>
  </si>
  <si>
    <t>Nearest 1% value</t>
  </si>
  <si>
    <t>Touch Panel Manufacturer and TriMark have not yet determined configuration</t>
  </si>
  <si>
    <t>LEDs tied to 12v supply</t>
  </si>
  <si>
    <t>R14 Power dissipation</t>
  </si>
  <si>
    <t>MMBTA05-TP</t>
  </si>
  <si>
    <t>Micro Commercial Co</t>
  </si>
  <si>
    <t>Q3</t>
  </si>
  <si>
    <t>PNP, 500 mA, 60v, Beta 100</t>
  </si>
  <si>
    <t>ERJ-2RKF2051X</t>
  </si>
  <si>
    <t>2.050K 0.1W 1%</t>
  </si>
  <si>
    <t>1.000K 0.1W 1%</t>
  </si>
  <si>
    <t>ERJ-2RKF1001X</t>
  </si>
  <si>
    <t>Reset protection</t>
  </si>
  <si>
    <t>Series Resistor</t>
  </si>
  <si>
    <t>Max voltage diff</t>
  </si>
  <si>
    <t>Resistor Power Diss</t>
  </si>
  <si>
    <t>100R 1/4W 5%</t>
  </si>
  <si>
    <t>ERJ-8GEYJ101V</t>
  </si>
  <si>
    <t>High side switch</t>
  </si>
  <si>
    <t>BAS16,215</t>
  </si>
  <si>
    <t>215mA, 10v, 250mW</t>
  </si>
  <si>
    <t>On Semi</t>
  </si>
  <si>
    <t>MBRS360BT3G</t>
  </si>
  <si>
    <t>National</t>
  </si>
  <si>
    <t>3.3v Regulator</t>
  </si>
  <si>
    <t>Sense</t>
  </si>
  <si>
    <t>R1,R9,R18</t>
  </si>
  <si>
    <t>ERJ-2RKF1003X</t>
  </si>
  <si>
    <t>R2,R10,R19</t>
  </si>
  <si>
    <t>ERJ-2RKF8871X</t>
  </si>
  <si>
    <t>C7,C8,C9</t>
  </si>
  <si>
    <t>TDK Corp</t>
  </si>
  <si>
    <t>C1005X7S2A103K</t>
  </si>
  <si>
    <t>0.01uF 60v</t>
  </si>
  <si>
    <t>Linear Tech</t>
  </si>
  <si>
    <t>LT3690EUFE#PBF</t>
  </si>
  <si>
    <t>SLF12575T-470M2R7-H</t>
  </si>
  <si>
    <t>47 uH, 2.7A (2.7A Sat)</t>
  </si>
  <si>
    <t>Package</t>
  </si>
  <si>
    <t>SMB</t>
  </si>
  <si>
    <t>4A, 60v</t>
  </si>
  <si>
    <t>SOT-23</t>
  </si>
  <si>
    <t>TO-252</t>
  </si>
  <si>
    <t>NPN, 500 mA, 60v, Beta 100</t>
  </si>
  <si>
    <t>0402</t>
  </si>
  <si>
    <t>1206</t>
  </si>
  <si>
    <t>TO-263</t>
  </si>
  <si>
    <t>SOT-223</t>
  </si>
  <si>
    <t>C1005X5R1A104M</t>
  </si>
  <si>
    <t>C2012X7R2A104M</t>
  </si>
  <si>
    <t>0.1uF, 100v, 20%</t>
  </si>
  <si>
    <t>0805</t>
  </si>
  <si>
    <t>CAN SMD</t>
  </si>
  <si>
    <t>39532035</t>
  </si>
  <si>
    <t>39532065</t>
  </si>
  <si>
    <t>TLE7259-2GU</t>
  </si>
  <si>
    <t>8-SOIC</t>
  </si>
  <si>
    <t>IC5</t>
  </si>
  <si>
    <t>0.1uF, 10v, 20%</t>
  </si>
  <si>
    <t>100K, 0.1W, 1%</t>
  </si>
  <si>
    <t>8870R, 0.1W, 1%</t>
  </si>
  <si>
    <t>C1608C0G2A221J</t>
  </si>
  <si>
    <t>220pF, 100v, 5%</t>
  </si>
  <si>
    <t>0603</t>
  </si>
  <si>
    <t>Acoustic Signal, 4.1kHz, 3-15v, -20to90C</t>
  </si>
  <si>
    <t>Row Labels</t>
  </si>
  <si>
    <t>(blank)</t>
  </si>
  <si>
    <t>Grand Total</t>
  </si>
  <si>
    <t>Sum of Est. Cost</t>
  </si>
  <si>
    <t>Mabuchi</t>
  </si>
  <si>
    <t>FC-280PC/SC</t>
  </si>
  <si>
    <t>Kysan</t>
  </si>
  <si>
    <t>V-FB</t>
  </si>
  <si>
    <t>V-OUT Desired</t>
  </si>
  <si>
    <t>Based on LT3690</t>
  </si>
  <si>
    <t>R3</t>
  </si>
  <si>
    <t>Fsw(max)</t>
  </si>
  <si>
    <t>V-LS</t>
  </si>
  <si>
    <t>T-ON(min)</t>
  </si>
  <si>
    <t>V-IN</t>
  </si>
  <si>
    <t>V-SW</t>
  </si>
  <si>
    <t>sec</t>
  </si>
  <si>
    <t>DC-min</t>
  </si>
  <si>
    <t>DC-max</t>
  </si>
  <si>
    <t>T-OFF(min)</t>
  </si>
  <si>
    <t>% duty cycle</t>
  </si>
  <si>
    <t>V-IN(min)</t>
  </si>
  <si>
    <t>v by duty cycle</t>
  </si>
  <si>
    <t>V-IN(max)</t>
  </si>
  <si>
    <t>I-L(peak)</t>
  </si>
  <si>
    <t>V-OUTOL</t>
  </si>
  <si>
    <t>Inductory</t>
  </si>
  <si>
    <t>uHenry</t>
  </si>
  <si>
    <t>RT</t>
  </si>
  <si>
    <t>Highest acceptible frequency</t>
  </si>
  <si>
    <t>Overload shutdown</t>
  </si>
  <si>
    <t>Typical V-in</t>
  </si>
  <si>
    <t>Sullins</t>
  </si>
  <si>
    <t>NPPC071KFXD</t>
  </si>
  <si>
    <t>Programming connector, or NPPC071KFXC w/PCB change</t>
  </si>
  <si>
    <t>J1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</si>
</sst>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  <numFmt numFmtId="167" formatCode="_(* #,##0.000_);_(* \(#,##0.000\);_(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70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  <xf numFmtId="0" fontId="1" fillId="4" borderId="0" xfId="31"/>
    <xf numFmtId="0" fontId="8" fillId="3" borderId="0" xfId="25"/>
    <xf numFmtId="44" fontId="2" fillId="30" borderId="0" xfId="29" applyFont="1" applyFill="1"/>
    <xf numFmtId="167" fontId="0" fillId="0" borderId="0" xfId="28" applyNumberFormat="1" applyFont="1"/>
    <xf numFmtId="0" fontId="2" fillId="30" borderId="18" xfId="0" applyFont="1" applyFill="1" applyBorder="1"/>
    <xf numFmtId="0" fontId="0" fillId="0" borderId="18" xfId="0" applyBorder="1"/>
    <xf numFmtId="0" fontId="4" fillId="0" borderId="18" xfId="0" applyFont="1" applyBorder="1"/>
    <xf numFmtId="0" fontId="1" fillId="0" borderId="18" xfId="0" applyFont="1" applyBorder="1"/>
    <xf numFmtId="0" fontId="5" fillId="0" borderId="18" xfId="36" applyBorder="1" applyAlignment="1" applyProtection="1"/>
    <xf numFmtId="0" fontId="2" fillId="32" borderId="0" xfId="0" applyFont="1" applyFill="1"/>
    <xf numFmtId="0" fontId="2" fillId="32" borderId="18" xfId="0" applyFont="1" applyFill="1" applyBorder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0" borderId="0" xfId="0" applyFill="1"/>
    <xf numFmtId="1" fontId="9" fillId="20" borderId="1" xfId="26" applyNumberFormat="1"/>
    <xf numFmtId="11" fontId="0" fillId="0" borderId="0" xfId="0" applyNumberFormat="1"/>
    <xf numFmtId="2" fontId="9" fillId="20" borderId="1" xfId="26" applyNumberFormat="1"/>
    <xf numFmtId="43" fontId="0" fillId="0" borderId="0" xfId="28" applyFont="1"/>
    <xf numFmtId="0" fontId="1" fillId="0" borderId="0" xfId="0" applyFont="1" applyFill="1" applyBorder="1"/>
    <xf numFmtId="10" fontId="9" fillId="20" borderId="1" xfId="26" applyNumberFormat="1"/>
    <xf numFmtId="43" fontId="9" fillId="20" borderId="1" xfId="26" applyNumberFormat="1"/>
    <xf numFmtId="43" fontId="0" fillId="0" borderId="0" xfId="28" applyNumberFormat="1" applyFont="1"/>
    <xf numFmtId="0" fontId="0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748480"/>
        <c:axId val="119787520"/>
      </c:scatterChart>
      <c:valAx>
        <c:axId val="119748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787520"/>
        <c:crosses val="autoZero"/>
        <c:crossBetween val="midCat"/>
      </c:valAx>
      <c:valAx>
        <c:axId val="1197875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74848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10816"/>
        <c:axId val="121033088"/>
      </c:scatterChart>
      <c:valAx>
        <c:axId val="1210108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1033088"/>
        <c:crosses val="autoZero"/>
        <c:crossBetween val="midCat"/>
      </c:valAx>
      <c:valAx>
        <c:axId val="1210330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0108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60736"/>
        <c:axId val="121062528"/>
      </c:scatterChart>
      <c:valAx>
        <c:axId val="1210607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1062528"/>
        <c:crosses val="autoZero"/>
        <c:crossBetween val="midCat"/>
      </c:valAx>
      <c:valAx>
        <c:axId val="121062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0607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104775</xdr:rowOff>
    </xdr:from>
    <xdr:to>
      <xdr:col>15</xdr:col>
      <xdr:colOff>37239</xdr:colOff>
      <xdr:row>24</xdr:row>
      <xdr:rowOff>37785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1400175"/>
          <a:ext cx="6895239" cy="25238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24</xdr:row>
      <xdr:rowOff>66675</xdr:rowOff>
    </xdr:from>
    <xdr:to>
      <xdr:col>5</xdr:col>
      <xdr:colOff>923327</xdr:colOff>
      <xdr:row>42</xdr:row>
      <xdr:rowOff>28216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3990975"/>
          <a:ext cx="4790477" cy="287619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Smart" refreshedDate="40988.280010069444" createdVersion="4" refreshedVersion="4" minRefreshableVersion="3" recordCount="59">
  <cacheSource type="worksheet">
    <worksheetSource ref="A1:I60" sheet="BOM"/>
  </cacheSource>
  <cacheFields count="9">
    <cacheField name="Subsystem" numFmtId="0">
      <sharedItems containsBlank="1" count="9">
        <s v="+12v Supply"/>
        <s v="+3.3v Supply"/>
        <s v="Keypad"/>
        <s v="LIN"/>
        <s v="Micro"/>
        <s v="Motor"/>
        <s v="Sense"/>
        <s v="Wake Out"/>
        <m/>
      </sharedItems>
    </cacheField>
    <cacheField name="Manufacturer" numFmtId="0">
      <sharedItems containsBlank="1"/>
    </cacheField>
    <cacheField name="Part Number" numFmtId="0">
      <sharedItems containsBlank="1"/>
    </cacheField>
    <cacheField name="Qty" numFmtId="0">
      <sharedItems containsString="0" containsBlank="1" containsNumber="1" containsInteger="1" minValue="1" maxValue="5"/>
    </cacheField>
    <cacheField name="Designator" numFmtId="0">
      <sharedItems containsBlank="1"/>
    </cacheField>
    <cacheField name="Description" numFmtId="0">
      <sharedItems containsBlank="1"/>
    </cacheField>
    <cacheField name="Package" numFmtId="0">
      <sharedItems containsBlank="1"/>
    </cacheField>
    <cacheField name="Est. Cost" numFmtId="44">
      <sharedItems containsString="0" containsBlank="1" containsNumber="1" minValue="1.3639999999999999E-2" maxValue="6.01"/>
    </cacheField>
    <cacheField name="Qty2" numFmtId="0">
      <sharedItems containsString="0" containsBlank="1" containsNumber="1" containsInteger="1" minValue="100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">
  <r>
    <x v="0"/>
    <m/>
    <m/>
    <n v="1"/>
    <s v="C1"/>
    <s v="0.68 uF"/>
    <m/>
    <m/>
    <m/>
  </r>
  <r>
    <x v="0"/>
    <m/>
    <m/>
    <n v="1"/>
    <s v="C12"/>
    <s v="0.47 uF"/>
    <m/>
    <m/>
    <m/>
  </r>
  <r>
    <x v="0"/>
    <m/>
    <m/>
    <n v="1"/>
    <s v="C14"/>
    <s v="10 uF 75v"/>
    <m/>
    <m/>
    <m/>
  </r>
  <r>
    <x v="0"/>
    <m/>
    <m/>
    <n v="1"/>
    <s v="C17"/>
    <s v="0.1uF"/>
    <m/>
    <m/>
    <m/>
  </r>
  <r>
    <x v="0"/>
    <m/>
    <m/>
    <n v="1"/>
    <s v="C2"/>
    <s v="100 uF 15v"/>
    <m/>
    <m/>
    <m/>
  </r>
  <r>
    <x v="0"/>
    <m/>
    <m/>
    <n v="1"/>
    <s v="C3"/>
    <s v="10 nF"/>
    <m/>
    <m/>
    <m/>
  </r>
  <r>
    <x v="0"/>
    <m/>
    <m/>
    <n v="1"/>
    <s v="C4"/>
    <s v="2.2 nF"/>
    <m/>
    <m/>
    <m/>
  </r>
  <r>
    <x v="0"/>
    <s v="On Semi"/>
    <s v="MBRS360BT3G"/>
    <n v="1"/>
    <s v="D1"/>
    <s v="4A, 60v"/>
    <s v="SMB"/>
    <n v="0.29915999999999998"/>
    <n v="250"/>
  </r>
  <r>
    <x v="0"/>
    <s v="Linear Tech"/>
    <s v="LT3690EUFE#PBF"/>
    <n v="1"/>
    <s v="IC4"/>
    <s v="Switching P.S."/>
    <m/>
    <n v="6.01"/>
    <n v="100"/>
  </r>
  <r>
    <x v="0"/>
    <m/>
    <s v="R?"/>
    <n v="1"/>
    <s v="R15"/>
    <m/>
    <m/>
    <m/>
    <m/>
  </r>
  <r>
    <x v="0"/>
    <m/>
    <m/>
    <n v="1"/>
    <s v="R31"/>
    <m/>
    <m/>
    <m/>
    <m/>
  </r>
  <r>
    <x v="0"/>
    <m/>
    <m/>
    <n v="1"/>
    <s v="R32"/>
    <m/>
    <m/>
    <m/>
    <m/>
  </r>
  <r>
    <x v="0"/>
    <m/>
    <s v="R?"/>
    <n v="1"/>
    <s v="R33"/>
    <m/>
    <m/>
    <m/>
    <m/>
  </r>
  <r>
    <x v="0"/>
    <m/>
    <m/>
    <n v="1"/>
    <s v="R33"/>
    <s v="820K"/>
    <m/>
    <m/>
    <m/>
  </r>
  <r>
    <x v="0"/>
    <m/>
    <m/>
    <n v="1"/>
    <s v="R4"/>
    <s v="82K"/>
    <m/>
    <m/>
    <m/>
  </r>
  <r>
    <x v="0"/>
    <s v="TDK Corp"/>
    <s v="SLF12575T-470M2R7-H"/>
    <n v="1"/>
    <s v="T2"/>
    <s v="47 uH, 2.7A (2.7A Sat)"/>
    <m/>
    <n v="0.82499999999999996"/>
    <n v="500"/>
  </r>
  <r>
    <x v="1"/>
    <s v="TDK Corp"/>
    <s v="C1005X5R1A104M"/>
    <n v="1"/>
    <s v="C10"/>
    <s v="0.1uF, 10v, 20%"/>
    <s v="0402"/>
    <n v="1.3639999999999999E-2"/>
    <n v="250"/>
  </r>
  <r>
    <x v="1"/>
    <s v="Panasonic"/>
    <s v="EEE-1JA220UP"/>
    <n v="1"/>
    <s v="C18"/>
    <s v="22uF 63v"/>
    <s v="CAN SMD"/>
    <n v="0.26"/>
    <n v="250"/>
  </r>
  <r>
    <x v="1"/>
    <s v="TDK Corp"/>
    <s v="C2012X7R2A104M"/>
    <n v="1"/>
    <s v="C6"/>
    <s v="0.1uF, 100v, 20%"/>
    <s v="0805"/>
    <n v="7.4999999999999997E-2"/>
    <n v="250"/>
  </r>
  <r>
    <x v="1"/>
    <s v="NXP"/>
    <s v="BAS16,215"/>
    <n v="1"/>
    <s v="D3"/>
    <s v="215mA, 10v, 250mW"/>
    <s v="SOT-23"/>
    <n v="4.752E-2"/>
    <n v="250"/>
  </r>
  <r>
    <x v="1"/>
    <s v="National"/>
    <s v="LM2936DT-3.3"/>
    <n v="1"/>
    <s v="IC3"/>
    <s v="3.3v Regulator"/>
    <s v="TO-252"/>
    <n v="1.54"/>
    <n v="250"/>
  </r>
  <r>
    <x v="2"/>
    <s v="Molex"/>
    <s v="39532035"/>
    <n v="1"/>
    <s v="J2"/>
    <s v="3-pin ribbon connector"/>
    <m/>
    <m/>
    <m/>
  </r>
  <r>
    <x v="2"/>
    <s v="Molex"/>
    <s v="39532065"/>
    <n v="1"/>
    <s v="J3"/>
    <s v="6-pin ribbon connector"/>
    <m/>
    <m/>
    <m/>
  </r>
  <r>
    <x v="2"/>
    <s v="Micro Commercial Co"/>
    <s v="MMBTA05-TP"/>
    <n v="1"/>
    <s v="Q1"/>
    <s v="NPN, 500 mA, 60v, Beta 100"/>
    <s v="SOT-23"/>
    <n v="8.5519999999999999E-2"/>
    <n v="250"/>
  </r>
  <r>
    <x v="2"/>
    <s v="Panasonic"/>
    <s v="ERJ-2RKF2051X"/>
    <n v="1"/>
    <s v="R14"/>
    <s v="2.050K 0.1W 1%"/>
    <s v="0402"/>
    <n v="1.3639999999999999E-2"/>
    <n v="250"/>
  </r>
  <r>
    <x v="2"/>
    <s v="Panasonic"/>
    <s v="ERJ-2RKF1001X"/>
    <n v="5"/>
    <s v="R20, R21, R22, R23, R24"/>
    <s v="1.000K 0.1W 1%"/>
    <s v="0402"/>
    <n v="1.3639999999999999E-2"/>
    <n v="250"/>
  </r>
  <r>
    <x v="2"/>
    <m/>
    <m/>
    <n v="1"/>
    <s v="R28"/>
    <s v="???R LED Current Limit"/>
    <m/>
    <m/>
    <m/>
  </r>
  <r>
    <x v="2"/>
    <s v="Mallory"/>
    <s v="PK-12N40PQ"/>
    <n v="1"/>
    <s v="SG1"/>
    <s v="Acoustic Signal, 4.1kHz, 3-15v, -20to90C"/>
    <m/>
    <n v="2.2058"/>
    <n v="100"/>
  </r>
  <r>
    <x v="3"/>
    <s v="TDK Corp"/>
    <s v="C2012X7R2A104M"/>
    <n v="1"/>
    <s v="C15"/>
    <s v="0.1uF, 100v, 20%"/>
    <s v="0805"/>
    <n v="7.4999999999999997E-2"/>
    <n v="250"/>
  </r>
  <r>
    <x v="3"/>
    <s v="TDK Corp"/>
    <s v="C1608C0G2A221J"/>
    <n v="1"/>
    <s v="C5"/>
    <s v="220pF, 100v, 5%"/>
    <s v="0603"/>
    <n v="3.9E-2"/>
    <n v="250"/>
  </r>
  <r>
    <x v="3"/>
    <m/>
    <m/>
    <n v="1"/>
    <s v="D8"/>
    <s v="27v Zener"/>
    <m/>
    <m/>
    <m/>
  </r>
  <r>
    <x v="3"/>
    <s v="Infineon"/>
    <s v="TLE7259-2GU"/>
    <n v="1"/>
    <s v="IC5"/>
    <s v="LIN Transceiver"/>
    <s v="8-SOIC"/>
    <n v="1.2693000000000001"/>
    <n v="100"/>
  </r>
  <r>
    <x v="3"/>
    <m/>
    <m/>
    <n v="1"/>
    <s v="Q2"/>
    <s v="PNP, 500 mA, 60v, Beta 100"/>
    <s v="SOT-23"/>
    <n v="8.5519999999999999E-2"/>
    <n v="250"/>
  </r>
  <r>
    <x v="3"/>
    <m/>
    <m/>
    <n v="1"/>
    <s v="Q3"/>
    <s v="N-ch MOSFET"/>
    <m/>
    <m/>
    <m/>
  </r>
  <r>
    <x v="3"/>
    <s v="Panasonic"/>
    <s v="ERJ-2RKF1003X"/>
    <n v="1"/>
    <s v="R30"/>
    <s v="100K, 0.1W, 1%"/>
    <s v="0402"/>
    <n v="1.3639999999999999E-2"/>
    <n v="250"/>
  </r>
  <r>
    <x v="3"/>
    <m/>
    <m/>
    <n v="1"/>
    <s v="R34"/>
    <s v="R?"/>
    <m/>
    <m/>
    <m/>
  </r>
  <r>
    <x v="3"/>
    <m/>
    <m/>
    <n v="1"/>
    <s v="R35"/>
    <s v="R?"/>
    <m/>
    <m/>
    <m/>
  </r>
  <r>
    <x v="4"/>
    <s v="TDK Corp"/>
    <s v="C1005X5R1A104M"/>
    <n v="1"/>
    <s v="C11"/>
    <s v="0.1uF, 10v, 20%"/>
    <s v="0402"/>
    <n v="1.3639999999999999E-2"/>
    <n v="250"/>
  </r>
  <r>
    <x v="4"/>
    <s v="Microchip"/>
    <s v="PIC18F25K22-E/SO-ND"/>
    <n v="1"/>
    <s v="IC2"/>
    <s v="Microprocessor"/>
    <m/>
    <n v="2.08"/>
    <n v="300"/>
  </r>
  <r>
    <x v="4"/>
    <m/>
    <m/>
    <n v="1"/>
    <s v="J9"/>
    <s v="Programming connector"/>
    <m/>
    <m/>
    <m/>
  </r>
  <r>
    <x v="4"/>
    <s v="Panasonic"/>
    <s v="ERJ-8GEYJ101V"/>
    <n v="1"/>
    <s v="R5"/>
    <s v="100R 1/4W 5%"/>
    <s v="1206"/>
    <n v="1.3639999999999999E-2"/>
    <n v="250"/>
  </r>
  <r>
    <x v="5"/>
    <s v="TDK Corp"/>
    <s v="C2012X7R2A104M"/>
    <n v="1"/>
    <s v="C13"/>
    <s v="0.1uF, 100v, 20%"/>
    <s v="0805"/>
    <n v="7.4999999999999997E-2"/>
    <n v="250"/>
  </r>
  <r>
    <x v="5"/>
    <s v="Infineon"/>
    <s v="TLE5205-2G"/>
    <n v="1"/>
    <s v="IC1"/>
    <s v="H-Bridge"/>
    <s v="TO-263"/>
    <n v="5.4107000000000003"/>
    <n v="100"/>
  </r>
  <r>
    <x v="5"/>
    <s v="Panasonic"/>
    <s v="ERJ-2RKF1003X"/>
    <n v="1"/>
    <s v="R27"/>
    <s v="100K, 0.1W, 1%"/>
    <s v="0402"/>
    <n v="1.3639999999999999E-2"/>
    <n v="250"/>
  </r>
  <r>
    <x v="5"/>
    <s v="Mabuchi"/>
    <s v="FC-280PC/SC"/>
    <n v="1"/>
    <s v="Motor"/>
    <s v="Motor"/>
    <m/>
    <n v="1.95"/>
    <n v="100"/>
  </r>
  <r>
    <x v="6"/>
    <s v="TDK Corp"/>
    <s v="C1005X7S2A103K"/>
    <n v="3"/>
    <s v="C7,C8,C9"/>
    <s v="0.01uF 60v"/>
    <m/>
    <n v="2.9239999999999999E-2"/>
    <n v="250"/>
  </r>
  <r>
    <x v="6"/>
    <s v="Panasonic"/>
    <s v="ERJ-2RKF1003X"/>
    <n v="3"/>
    <s v="R1,R9,R18"/>
    <s v="100K, 0.1W, 1%"/>
    <s v="0402"/>
    <n v="1.3639999999999999E-2"/>
    <n v="250"/>
  </r>
  <r>
    <x v="6"/>
    <s v="Panasonic"/>
    <s v="ERJ-2RKF8871X"/>
    <n v="3"/>
    <s v="R2,R10,R19"/>
    <s v="8870R, 0.1W, 1%"/>
    <s v="0402"/>
    <n v="1.3639999999999999E-2"/>
    <n v="250"/>
  </r>
  <r>
    <x v="7"/>
    <s v="TDK Corp"/>
    <s v="C2012X7R2A104M"/>
    <n v="1"/>
    <s v="C16"/>
    <s v="0.1uF, 100v, 20%"/>
    <s v="0805"/>
    <n v="7.4999999999999997E-2"/>
    <n v="250"/>
  </r>
  <r>
    <x v="7"/>
    <s v="Infineon"/>
    <s v="BSP452"/>
    <n v="1"/>
    <s v="IC6"/>
    <s v="High side switch"/>
    <s v="SOT-223"/>
    <n v="1.4280999999999999"/>
    <n v="100"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76:B86" firstHeaderRow="1" firstDataRow="1" firstDataCol="1"/>
  <pivotFields count="9">
    <pivotField axis="axisRow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Sum of Est. Cost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igikey.com/us/en/products/MMBTA55-TP/MMBTA55-TPCT-ND/819691" TargetMode="External"/><Relationship Id="rId13" Type="http://schemas.openxmlformats.org/officeDocument/2006/relationships/hyperlink" Target="http://search.digikey.com/us/en/products/MBRS360BT3G/MBRS360BT3GOSCT-ND/2623453" TargetMode="External"/><Relationship Id="rId18" Type="http://schemas.openxmlformats.org/officeDocument/2006/relationships/hyperlink" Target="http://search.digikey.com/us/en/products/SLF12575T-470M2R7-H/445-3862-2-ND/1913726http:/search.digikey.com/us/en/products/SLF12575T-470M2R7-H/445-3862-2-ND/1913726" TargetMode="External"/><Relationship Id="rId26" Type="http://schemas.openxmlformats.org/officeDocument/2006/relationships/hyperlink" Target="http://search.digikey.com/us/en/products/ERJ-2RKF1003X/P100KLCT-ND/194127" TargetMode="External"/><Relationship Id="rId3" Type="http://schemas.openxmlformats.org/officeDocument/2006/relationships/hyperlink" Target="http://search.digikey.com/scripts/DkSearch/dksus.dll?vendor=0&amp;keywords=LM2936DT-3.3" TargetMode="External"/><Relationship Id="rId21" Type="http://schemas.openxmlformats.org/officeDocument/2006/relationships/hyperlink" Target="http://search.digikey.com/us/en/products/C2012X7R2A104M/445-4442-1-ND/2042238" TargetMode="External"/><Relationship Id="rId34" Type="http://schemas.openxmlformats.org/officeDocument/2006/relationships/comments" Target="../comments1.xml"/><Relationship Id="rId7" Type="http://schemas.openxmlformats.org/officeDocument/2006/relationships/hyperlink" Target="http://search.digikey.com/us/en/products/MMBTA05-TP/MMBTA05TPMSCT-ND/717397" TargetMode="External"/><Relationship Id="rId12" Type="http://schemas.openxmlformats.org/officeDocument/2006/relationships/hyperlink" Target="http://search.digikey.com/us/en/products/BAS16,215/568-1596-1-ND/763423" TargetMode="External"/><Relationship Id="rId17" Type="http://schemas.openxmlformats.org/officeDocument/2006/relationships/hyperlink" Target="http://search.digikey.com/us/en/products/LT3690EUFE%23PBF/LT3690EUFE%23PBF-ND/2620260" TargetMode="External"/><Relationship Id="rId25" Type="http://schemas.openxmlformats.org/officeDocument/2006/relationships/hyperlink" Target="http://search.digikey.com/us/en/products/C2012X7R2A104M/445-4442-1-ND/2042238" TargetMode="External"/><Relationship Id="rId33" Type="http://schemas.openxmlformats.org/officeDocument/2006/relationships/vmlDrawing" Target="../drawings/vmlDrawing1.vml"/><Relationship Id="rId2" Type="http://schemas.openxmlformats.org/officeDocument/2006/relationships/hyperlink" Target="http://search.digikey.com/scripts/DkSearch/dksus.dll?vendor=0&amp;keywords=PIC18F25K22-E%2FSO-ND" TargetMode="External"/><Relationship Id="rId16" Type="http://schemas.openxmlformats.org/officeDocument/2006/relationships/hyperlink" Target="http://search.digikey.com/us/en/products/C1005X7S2A103K/445-5199-1-ND/2116334" TargetMode="External"/><Relationship Id="rId20" Type="http://schemas.openxmlformats.org/officeDocument/2006/relationships/hyperlink" Target="http://search.digikey.com/us/en/products/C2012X7R2A104M/445-4442-1-ND/2042238" TargetMode="External"/><Relationship Id="rId29" Type="http://schemas.openxmlformats.org/officeDocument/2006/relationships/hyperlink" Target="http://search.digikey.com/scripts/dksearch/dksus.dll?vendor=0&amp;keywords=PK-12N40PQ" TargetMode="External"/><Relationship Id="rId1" Type="http://schemas.openxmlformats.org/officeDocument/2006/relationships/pivotTable" Target="../pivotTables/pivotTable1.xml"/><Relationship Id="rId6" Type="http://schemas.openxmlformats.org/officeDocument/2006/relationships/hyperlink" Target="http://search.digikey.com/us/en/products/EEE-1JA220UP/PCE3944CT-ND/766320" TargetMode="External"/><Relationship Id="rId11" Type="http://schemas.openxmlformats.org/officeDocument/2006/relationships/hyperlink" Target="http://search.digikey.com/us/en/products/ERJ-8GEYJ101V/P100EDKR-ND/577962" TargetMode="External"/><Relationship Id="rId24" Type="http://schemas.openxmlformats.org/officeDocument/2006/relationships/hyperlink" Target="http://search.digikey.com/us/en/products/C2012X7R2A104M/445-4442-1-ND/2042238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search.digikey.com/us/en/products/BSP452/BSP452TR-ND/2080697" TargetMode="External"/><Relationship Id="rId15" Type="http://schemas.openxmlformats.org/officeDocument/2006/relationships/hyperlink" Target="http://search.digikey.com/us/en/products/ERJ-2RKF8871X/P8.87KLCT-ND/194529" TargetMode="External"/><Relationship Id="rId23" Type="http://schemas.openxmlformats.org/officeDocument/2006/relationships/hyperlink" Target="http://search.digikey.com/us/en/products/C1005X5R1A104M/445-4984-1-ND/2093598" TargetMode="External"/><Relationship Id="rId28" Type="http://schemas.openxmlformats.org/officeDocument/2006/relationships/hyperlink" Target="http://search.digikey.com/us/en/products/C1608C0G2A221J/445-2308-1-ND/789817" TargetMode="External"/><Relationship Id="rId10" Type="http://schemas.openxmlformats.org/officeDocument/2006/relationships/hyperlink" Target="http://search.digikey.com/us/en/products/ERJ-2RKF1001X/P1.00KLTR-ND/79729" TargetMode="External"/><Relationship Id="rId19" Type="http://schemas.openxmlformats.org/officeDocument/2006/relationships/hyperlink" Target="http://search.digikey.com/us/en/products/C1005X5R1A104M/445-4984-1-ND/2093598" TargetMode="External"/><Relationship Id="rId31" Type="http://schemas.openxmlformats.org/officeDocument/2006/relationships/hyperlink" Target="http://search.digikey.com/us/en/products/NPPC071KFXC-RC/S5638-ND/776097" TargetMode="External"/><Relationship Id="rId4" Type="http://schemas.openxmlformats.org/officeDocument/2006/relationships/hyperlink" Target="http://search.digikey.com/us/en/products/TLE5205-2G/TLE5205-2GINCT-ND/1557940" TargetMode="External"/><Relationship Id="rId9" Type="http://schemas.openxmlformats.org/officeDocument/2006/relationships/hyperlink" Target="http://search.digikey.com/us/en/products/ERJ-2RKF2051X/P2.05KLDKR-ND/575583" TargetMode="External"/><Relationship Id="rId14" Type="http://schemas.openxmlformats.org/officeDocument/2006/relationships/hyperlink" Target="http://search.digikey.com/us/en/products/ERJ-2RKF1003X/P100KLCT-ND/194127" TargetMode="External"/><Relationship Id="rId22" Type="http://schemas.openxmlformats.org/officeDocument/2006/relationships/hyperlink" Target="http://search.digikey.com/us/en/products/TLE7259-2GU/TLE7259-2GUINCT-ND/1868495" TargetMode="External"/><Relationship Id="rId27" Type="http://schemas.openxmlformats.org/officeDocument/2006/relationships/hyperlink" Target="http://search.digikey.com/us/en/products/ERJ-2RKF1003X/P100KLCT-ND/194127" TargetMode="External"/><Relationship Id="rId30" Type="http://schemas.openxmlformats.org/officeDocument/2006/relationships/hyperlink" Target="http://www.kysanelectronics.com/Products/Detail.php?recordID=595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6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86"/>
  <sheetViews>
    <sheetView tabSelected="1" zoomScale="85" zoomScaleNormal="85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A18" sqref="A18"/>
    </sheetView>
  </sheetViews>
  <sheetFormatPr defaultRowHeight="12.75" x14ac:dyDescent="0.2"/>
  <cols>
    <col min="1" max="1" width="14.5703125" customWidth="1"/>
    <col min="2" max="2" width="16.5703125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" customWidth="1"/>
    <col min="8" max="8" width="12.5703125" style="30" customWidth="1"/>
    <col min="9" max="9" width="10.42578125" customWidth="1"/>
    <col min="11" max="20" width="8.42578125" customWidth="1"/>
  </cols>
  <sheetData>
    <row r="1" spans="1:20" x14ac:dyDescent="0.2">
      <c r="A1" s="39" t="s">
        <v>371</v>
      </c>
      <c r="B1" s="39" t="s">
        <v>315</v>
      </c>
      <c r="C1" s="39" t="s">
        <v>333</v>
      </c>
      <c r="D1" s="39" t="s">
        <v>211</v>
      </c>
      <c r="E1" s="39" t="s">
        <v>374</v>
      </c>
      <c r="F1" s="39" t="s">
        <v>1</v>
      </c>
      <c r="G1" s="39" t="s">
        <v>514</v>
      </c>
      <c r="H1" s="46" t="s">
        <v>212</v>
      </c>
      <c r="I1" s="39" t="s">
        <v>211</v>
      </c>
      <c r="J1" s="48" t="s">
        <v>415</v>
      </c>
      <c r="K1" s="39" t="s">
        <v>334</v>
      </c>
      <c r="L1" s="39" t="s">
        <v>335</v>
      </c>
      <c r="M1" s="39" t="s">
        <v>336</v>
      </c>
      <c r="N1" s="39" t="s">
        <v>448</v>
      </c>
      <c r="O1" s="48" t="s">
        <v>3</v>
      </c>
      <c r="P1" s="53" t="s">
        <v>334</v>
      </c>
      <c r="Q1" s="53" t="s">
        <v>335</v>
      </c>
      <c r="R1" s="53" t="s">
        <v>336</v>
      </c>
      <c r="S1" s="53" t="s">
        <v>448</v>
      </c>
      <c r="T1" s="54" t="s">
        <v>3</v>
      </c>
    </row>
    <row r="2" spans="1:20" x14ac:dyDescent="0.2">
      <c r="A2" s="34" t="s">
        <v>375</v>
      </c>
      <c r="B2" s="34"/>
      <c r="D2">
        <f>1+LEN(E2)-LEN(SUBSTITUTE(E2,",",""))</f>
        <v>1</v>
      </c>
      <c r="E2" t="s">
        <v>386</v>
      </c>
      <c r="F2" t="s">
        <v>466</v>
      </c>
      <c r="J2" s="49"/>
      <c r="O2" s="49"/>
      <c r="P2" s="2" t="str">
        <f>IF(AND($O2&lt;&gt;"",K2&lt;&gt;""),K2*VLOOKUP($O2,$A$65:$B$67,2),"")</f>
        <v/>
      </c>
      <c r="Q2" s="2" t="str">
        <f>IF(AND($O2&lt;&gt;"",L2&lt;&gt;""),L2*VLOOKUP($O2,$A$65:$B$67,2),"")</f>
        <v/>
      </c>
      <c r="R2" s="2" t="str">
        <f>IF(AND($O2&lt;&gt;"",M2&lt;&gt;""),M2*VLOOKUP($O2,$A$65:$B$67,2),"")</f>
        <v/>
      </c>
      <c r="S2" s="2" t="str">
        <f>IF(AND($O2&lt;&gt;"",N2&lt;&gt;""),N2*VLOOKUP($O2,$A$65:$B$67,2),"")</f>
        <v/>
      </c>
      <c r="T2" s="49" t="str">
        <f>IF(O2&lt;&gt;"",IF(O2=$A$67,$A$66,$A$67),"")</f>
        <v/>
      </c>
    </row>
    <row r="3" spans="1:20" x14ac:dyDescent="0.2">
      <c r="A3" s="34" t="s">
        <v>375</v>
      </c>
      <c r="B3" s="34"/>
      <c r="D3">
        <f>1+LEN(E3)-LEN(SUBSTITUTE(E3,",",""))</f>
        <v>1</v>
      </c>
      <c r="E3" t="s">
        <v>382</v>
      </c>
      <c r="F3" t="s">
        <v>454</v>
      </c>
      <c r="J3" s="49"/>
      <c r="O3" s="49"/>
      <c r="P3" s="2" t="str">
        <f>IF(AND($O3&lt;&gt;"",K3&lt;&gt;""),K3*VLOOKUP($O3,$A$65:$B$67,2),"")</f>
        <v/>
      </c>
      <c r="Q3" s="2" t="str">
        <f>IF(AND($O3&lt;&gt;"",L3&lt;&gt;""),L3*VLOOKUP($O3,$A$65:$B$67,2),"")</f>
        <v/>
      </c>
      <c r="R3" s="2" t="str">
        <f>IF(AND($O3&lt;&gt;"",M3&lt;&gt;""),M3*VLOOKUP($O3,$A$65:$B$67,2),"")</f>
        <v/>
      </c>
      <c r="S3" s="2" t="str">
        <f>IF(AND($O3&lt;&gt;"",N3&lt;&gt;""),N3*VLOOKUP($O3,$A$65:$B$67,2),"")</f>
        <v/>
      </c>
      <c r="T3" s="49" t="str">
        <f>IF(O3&lt;&gt;"",IF(O3=$A$67,$A$66,$A$67),"")</f>
        <v/>
      </c>
    </row>
    <row r="4" spans="1:20" x14ac:dyDescent="0.2">
      <c r="A4" s="34" t="s">
        <v>375</v>
      </c>
      <c r="B4" s="34"/>
      <c r="D4">
        <f>1+LEN(E4)-LEN(SUBSTITUTE(E4,",",""))</f>
        <v>1</v>
      </c>
      <c r="E4" t="s">
        <v>377</v>
      </c>
      <c r="F4" t="s">
        <v>376</v>
      </c>
      <c r="J4" s="49"/>
      <c r="K4" s="47"/>
      <c r="L4" s="47"/>
      <c r="M4" s="47"/>
      <c r="N4" s="47"/>
      <c r="O4" s="49"/>
      <c r="P4" s="47" t="str">
        <f>IF(AND($O4&lt;&gt;"",K4&lt;&gt;""),K4*VLOOKUP($O4,$A$65:$B$67,2),"")</f>
        <v/>
      </c>
      <c r="Q4" s="47" t="str">
        <f>IF(AND($O4&lt;&gt;"",L4&lt;&gt;""),L4*VLOOKUP($O4,$A$65:$B$67,2),"")</f>
        <v/>
      </c>
      <c r="R4" s="47" t="str">
        <f>IF(AND($O4&lt;&gt;"",M4&lt;&gt;""),M4*VLOOKUP($O4,$A$65:$B$67,2),"")</f>
        <v/>
      </c>
      <c r="S4" s="47" t="str">
        <f>IF(AND($O4&lt;&gt;"",N4&lt;&gt;""),N4*VLOOKUP($O4,$A$65:$B$67,2),"")</f>
        <v/>
      </c>
      <c r="T4" s="49" t="str">
        <f>IF(O4&lt;&gt;"",IF(O4=$A$67,$A$66,$A$67),"")</f>
        <v/>
      </c>
    </row>
    <row r="5" spans="1:20" x14ac:dyDescent="0.2">
      <c r="A5" s="34" t="s">
        <v>375</v>
      </c>
      <c r="D5">
        <f>1+LEN(E5)-LEN(SUBSTITUTE(E5,",",""))</f>
        <v>1</v>
      </c>
      <c r="E5" s="40" t="s">
        <v>465</v>
      </c>
      <c r="F5" t="s">
        <v>460</v>
      </c>
      <c r="J5" s="49"/>
      <c r="K5" s="47"/>
      <c r="L5" s="47"/>
      <c r="M5" s="47"/>
      <c r="N5" s="47"/>
      <c r="O5" s="49"/>
      <c r="P5" s="47"/>
      <c r="Q5" s="47"/>
      <c r="R5" s="47"/>
      <c r="S5" s="47"/>
      <c r="T5" s="49" t="str">
        <f>IF(O5&lt;&gt;"",IF(O5=$A$67,$A$66,$A$67),"")</f>
        <v/>
      </c>
    </row>
    <row r="6" spans="1:20" x14ac:dyDescent="0.2">
      <c r="A6" s="34" t="s">
        <v>375</v>
      </c>
      <c r="B6" s="34"/>
      <c r="D6">
        <f>1+LEN(E6)-LEN(SUBSTITUTE(E6,",",""))</f>
        <v>1</v>
      </c>
      <c r="E6" t="s">
        <v>393</v>
      </c>
      <c r="F6" t="s">
        <v>392</v>
      </c>
      <c r="J6" s="49"/>
      <c r="K6" s="47"/>
      <c r="L6" s="47"/>
      <c r="M6" s="47"/>
      <c r="N6" s="47"/>
      <c r="O6" s="49"/>
      <c r="P6" s="47" t="str">
        <f>IF(AND($O6&lt;&gt;"",K6&lt;&gt;""),K6*VLOOKUP($O6,$A$65:$B$67,2),"")</f>
        <v/>
      </c>
      <c r="Q6" s="47" t="str">
        <f>IF(AND($O6&lt;&gt;"",L6&lt;&gt;""),L6*VLOOKUP($O6,$A$65:$B$67,2),"")</f>
        <v/>
      </c>
      <c r="R6" s="47" t="str">
        <f>IF(AND($O6&lt;&gt;"",M6&lt;&gt;""),M6*VLOOKUP($O6,$A$65:$B$67,2),"")</f>
        <v/>
      </c>
      <c r="S6" s="47" t="str">
        <f>IF(AND($O6&lt;&gt;"",N6&lt;&gt;""),N6*VLOOKUP($O6,$A$65:$B$67,2),"")</f>
        <v/>
      </c>
      <c r="T6" s="49" t="str">
        <f>IF(O6&lt;&gt;"",IF(O6=$A$67,$A$66,$A$67),"")</f>
        <v/>
      </c>
    </row>
    <row r="7" spans="1:20" x14ac:dyDescent="0.2">
      <c r="A7" s="34" t="s">
        <v>375</v>
      </c>
      <c r="B7" s="34"/>
      <c r="D7">
        <f>1+LEN(E7)-LEN(SUBSTITUTE(E7,",",""))</f>
        <v>1</v>
      </c>
      <c r="E7" t="s">
        <v>379</v>
      </c>
      <c r="F7" t="s">
        <v>378</v>
      </c>
      <c r="J7" s="49"/>
      <c r="K7" s="47"/>
      <c r="L7" s="47"/>
      <c r="M7" s="47"/>
      <c r="N7" s="47"/>
      <c r="O7" s="49"/>
      <c r="P7" s="47" t="str">
        <f>IF(AND($O7&lt;&gt;"",K7&lt;&gt;""),K7*VLOOKUP($O7,$A$65:$B$67,2),"")</f>
        <v/>
      </c>
      <c r="Q7" s="47" t="str">
        <f>IF(AND($O7&lt;&gt;"",L7&lt;&gt;""),L7*VLOOKUP($O7,$A$65:$B$67,2),"")</f>
        <v/>
      </c>
      <c r="R7" s="47" t="str">
        <f>IF(AND($O7&lt;&gt;"",M7&lt;&gt;""),M7*VLOOKUP($O7,$A$65:$B$67,2),"")</f>
        <v/>
      </c>
      <c r="S7" s="47" t="str">
        <f>IF(AND($O7&lt;&gt;"",N7&lt;&gt;""),N7*VLOOKUP($O7,$A$65:$B$67,2),"")</f>
        <v/>
      </c>
      <c r="T7" s="49" t="str">
        <f>IF(O7&lt;&gt;"",IF(O7=$A$67,$A$66,$A$67),"")</f>
        <v/>
      </c>
    </row>
    <row r="8" spans="1:20" x14ac:dyDescent="0.2">
      <c r="A8" s="34" t="s">
        <v>375</v>
      </c>
      <c r="B8" s="34"/>
      <c r="D8">
        <f>1+LEN(E8)-LEN(SUBSTITUTE(E8,",",""))</f>
        <v>1</v>
      </c>
      <c r="E8" t="s">
        <v>381</v>
      </c>
      <c r="F8" t="s">
        <v>380</v>
      </c>
      <c r="J8" s="49"/>
      <c r="K8" s="47"/>
      <c r="L8" s="47"/>
      <c r="M8" s="47"/>
      <c r="N8" s="47"/>
      <c r="O8" s="49"/>
      <c r="P8" s="47" t="str">
        <f>IF(AND($O8&lt;&gt;"",K8&lt;&gt;""),K8*VLOOKUP($O8,$A$65:$B$67,2),"")</f>
        <v/>
      </c>
      <c r="Q8" s="47" t="str">
        <f>IF(AND($O8&lt;&gt;"",L8&lt;&gt;""),L8*VLOOKUP($O8,$A$65:$B$67,2),"")</f>
        <v/>
      </c>
      <c r="R8" s="47" t="str">
        <f>IF(AND($O8&lt;&gt;"",M8&lt;&gt;""),M8*VLOOKUP($O8,$A$65:$B$67,2),"")</f>
        <v/>
      </c>
      <c r="S8" s="47" t="str">
        <f>IF(AND($O8&lt;&gt;"",N8&lt;&gt;""),N8*VLOOKUP($O8,$A$65:$B$67,2),"")</f>
        <v/>
      </c>
      <c r="T8" s="49" t="str">
        <f>IF(O8&lt;&gt;"",IF(O8=$A$67,$A$66,$A$67),"")</f>
        <v/>
      </c>
    </row>
    <row r="9" spans="1:20" x14ac:dyDescent="0.2">
      <c r="A9" s="34" t="s">
        <v>375</v>
      </c>
      <c r="B9" s="56" t="s">
        <v>497</v>
      </c>
      <c r="C9" s="40" t="s">
        <v>498</v>
      </c>
      <c r="D9">
        <f>1+LEN(E9)-LEN(SUBSTITUTE(E9,",",""))</f>
        <v>1</v>
      </c>
      <c r="E9" s="44" t="s">
        <v>394</v>
      </c>
      <c r="F9" s="40" t="s">
        <v>516</v>
      </c>
      <c r="G9" s="40" t="s">
        <v>515</v>
      </c>
      <c r="H9" s="30">
        <v>0.29915999999999998</v>
      </c>
      <c r="I9">
        <v>250</v>
      </c>
      <c r="J9" s="52" t="s">
        <v>416</v>
      </c>
      <c r="K9" s="47">
        <v>8.1300000000000008</v>
      </c>
      <c r="L9" s="47">
        <v>6.1</v>
      </c>
      <c r="M9" s="47">
        <v>2.41</v>
      </c>
      <c r="N9" s="47"/>
      <c r="O9" s="51" t="s">
        <v>328</v>
      </c>
      <c r="P9" s="47">
        <f>IF(AND($O9&lt;&gt;"",K9&lt;&gt;""),K9*VLOOKUP($O9,$A$65:$B$67,2),"")</f>
        <v>0.32007874015748033</v>
      </c>
      <c r="Q9" s="47">
        <f>IF(AND($O9&lt;&gt;"",L9&lt;&gt;""),L9*VLOOKUP($O9,$A$65:$B$67,2),"")</f>
        <v>0.24015748031496062</v>
      </c>
      <c r="R9" s="47">
        <f>IF(AND($O9&lt;&gt;"",M9&lt;&gt;""),M9*VLOOKUP($O9,$A$65:$B$67,2),"")</f>
        <v>9.4881889763779537E-2</v>
      </c>
      <c r="S9" s="47" t="str">
        <f>IF(AND($O9&lt;&gt;"",N9&lt;&gt;""),N9*VLOOKUP($O9,$A$65:$B$67,2),"")</f>
        <v/>
      </c>
      <c r="T9" s="49" t="str">
        <f>IF(O9&lt;&gt;"",IF(O9=$A$67,$A$66,$A$67),"")</f>
        <v>inch</v>
      </c>
    </row>
    <row r="10" spans="1:20" x14ac:dyDescent="0.2">
      <c r="A10" s="34" t="s">
        <v>375</v>
      </c>
      <c r="B10" s="56" t="s">
        <v>510</v>
      </c>
      <c r="C10" s="40" t="s">
        <v>511</v>
      </c>
      <c r="D10">
        <f>1+LEN(E10)-LEN(SUBSTITUTE(E10,",",""))</f>
        <v>1</v>
      </c>
      <c r="E10" s="44" t="s">
        <v>385</v>
      </c>
      <c r="F10" s="38" t="s">
        <v>340</v>
      </c>
      <c r="G10" s="38"/>
      <c r="H10" s="30">
        <v>6.01</v>
      </c>
      <c r="I10">
        <v>100</v>
      </c>
      <c r="J10" s="52" t="s">
        <v>416</v>
      </c>
      <c r="K10" s="47">
        <v>6</v>
      </c>
      <c r="L10" s="47">
        <v>4</v>
      </c>
      <c r="M10" s="47">
        <v>0.75</v>
      </c>
      <c r="N10" s="47"/>
      <c r="O10" s="49" t="s">
        <v>328</v>
      </c>
      <c r="P10" s="47">
        <f>IF(AND($O10&lt;&gt;"",K10&lt;&gt;""),K10*VLOOKUP($O10,$A$65:$B$67,2),"")</f>
        <v>0.23622047244094488</v>
      </c>
      <c r="Q10" s="47">
        <f>IF(AND($O10&lt;&gt;"",L10&lt;&gt;""),L10*VLOOKUP($O10,$A$65:$B$67,2),"")</f>
        <v>0.15748031496062992</v>
      </c>
      <c r="R10" s="47">
        <f>IF(AND($O10&lt;&gt;"",M10&lt;&gt;""),M10*VLOOKUP($O10,$A$65:$B$67,2),"")</f>
        <v>2.952755905511811E-2</v>
      </c>
      <c r="S10" s="47" t="str">
        <f>IF(AND($O10&lt;&gt;"",N10&lt;&gt;""),N10*VLOOKUP($O10,$A$65:$B$67,2),"")</f>
        <v/>
      </c>
      <c r="T10" s="49" t="str">
        <f>IF(O10&lt;&gt;"",IF(O10=$A$67,$A$66,$A$67),"")</f>
        <v>inch</v>
      </c>
    </row>
    <row r="11" spans="1:20" x14ac:dyDescent="0.2">
      <c r="A11" s="34" t="s">
        <v>375</v>
      </c>
      <c r="B11" s="34"/>
      <c r="C11" t="s">
        <v>383</v>
      </c>
      <c r="D11">
        <f>1+LEN(E11)-LEN(SUBSTITUTE(E11,",",""))</f>
        <v>1</v>
      </c>
      <c r="E11" t="s">
        <v>388</v>
      </c>
      <c r="J11" s="49"/>
      <c r="K11" s="47"/>
      <c r="L11" s="47"/>
      <c r="M11" s="47"/>
      <c r="N11" s="47"/>
      <c r="O11" s="49"/>
      <c r="P11" s="47" t="str">
        <f>IF(AND($O11&lt;&gt;"",K11&lt;&gt;""),K11*VLOOKUP($O11,$A$65:$B$67,2),"")</f>
        <v/>
      </c>
      <c r="Q11" s="47" t="str">
        <f>IF(AND($O11&lt;&gt;"",L11&lt;&gt;""),L11*VLOOKUP($O11,$A$65:$B$67,2),"")</f>
        <v/>
      </c>
      <c r="R11" s="47" t="str">
        <f>IF(AND($O11&lt;&gt;"",M11&lt;&gt;""),M11*VLOOKUP($O11,$A$65:$B$67,2),"")</f>
        <v/>
      </c>
      <c r="S11" s="47" t="str">
        <f>IF(AND($O11&lt;&gt;"",N11&lt;&gt;""),N11*VLOOKUP($O11,$A$65:$B$67,2),"")</f>
        <v/>
      </c>
      <c r="T11" s="49" t="str">
        <f>IF(O11&lt;&gt;"",IF(O11=$A$67,$A$66,$A$67),"")</f>
        <v/>
      </c>
    </row>
    <row r="12" spans="1:20" x14ac:dyDescent="0.2">
      <c r="A12" s="34" t="s">
        <v>375</v>
      </c>
      <c r="D12">
        <f>1+LEN(E12)-LEN(SUBSTITUTE(E12,",",""))</f>
        <v>1</v>
      </c>
      <c r="E12" s="40" t="s">
        <v>463</v>
      </c>
      <c r="J12" s="49"/>
      <c r="K12" s="47"/>
      <c r="L12" s="47"/>
      <c r="M12" s="47"/>
      <c r="N12" s="47"/>
      <c r="O12" s="49"/>
      <c r="P12" s="47" t="str">
        <f>IF(AND($O12&lt;&gt;"",K12&lt;&gt;""),K12*VLOOKUP($O12,$A$65:$B$67,2),"")</f>
        <v/>
      </c>
      <c r="Q12" s="47" t="str">
        <f>IF(AND($O12&lt;&gt;"",L12&lt;&gt;""),L12*VLOOKUP($O12,$A$65:$B$67,2),"")</f>
        <v/>
      </c>
      <c r="R12" s="47" t="str">
        <f>IF(AND($O12&lt;&gt;"",M12&lt;&gt;""),M12*VLOOKUP($O12,$A$65:$B$67,2),"")</f>
        <v/>
      </c>
      <c r="S12" s="47" t="str">
        <f>IF(AND($O12&lt;&gt;"",N12&lt;&gt;""),N12*VLOOKUP($O12,$A$65:$B$67,2),"")</f>
        <v/>
      </c>
      <c r="T12" s="49" t="str">
        <f>IF(O12&lt;&gt;"",IF(O12=$A$67,$A$66,$A$67),"")</f>
        <v/>
      </c>
    </row>
    <row r="13" spans="1:20" x14ac:dyDescent="0.2">
      <c r="A13" s="34" t="s">
        <v>375</v>
      </c>
      <c r="D13">
        <f>1+LEN(E13)-LEN(SUBSTITUTE(E13,",",""))</f>
        <v>1</v>
      </c>
      <c r="E13" s="40" t="s">
        <v>464</v>
      </c>
      <c r="J13" s="49"/>
      <c r="K13" s="47"/>
      <c r="L13" s="47"/>
      <c r="M13" s="47"/>
      <c r="N13" s="47"/>
      <c r="O13" s="49"/>
      <c r="P13" s="47" t="str">
        <f>IF(AND($O13&lt;&gt;"",K13&lt;&gt;""),K13*VLOOKUP($O13,$A$65:$B$67,2),"")</f>
        <v/>
      </c>
      <c r="Q13" s="47" t="str">
        <f>IF(AND($O13&lt;&gt;"",L13&lt;&gt;""),L13*VLOOKUP($O13,$A$65:$B$67,2),"")</f>
        <v/>
      </c>
      <c r="R13" s="47" t="str">
        <f>IF(AND($O13&lt;&gt;"",M13&lt;&gt;""),M13*VLOOKUP($O13,$A$65:$B$67,2),"")</f>
        <v/>
      </c>
      <c r="S13" s="47" t="str">
        <f>IF(AND($O13&lt;&gt;"",N13&lt;&gt;""),N13*VLOOKUP($O13,$A$65:$B$67,2),"")</f>
        <v/>
      </c>
      <c r="T13" s="49" t="str">
        <f>IF(O13&lt;&gt;"",IF(O13=$A$67,$A$66,$A$67),"")</f>
        <v/>
      </c>
    </row>
    <row r="14" spans="1:20" x14ac:dyDescent="0.2">
      <c r="A14" s="34" t="s">
        <v>375</v>
      </c>
      <c r="B14" s="34"/>
      <c r="C14" t="s">
        <v>383</v>
      </c>
      <c r="D14">
        <f>1+LEN(E14)-LEN(SUBSTITUTE(E14,",",""))</f>
        <v>1</v>
      </c>
      <c r="E14" t="s">
        <v>384</v>
      </c>
      <c r="J14" s="49"/>
      <c r="K14" s="47"/>
      <c r="L14" s="47"/>
      <c r="M14" s="47"/>
      <c r="N14" s="47"/>
      <c r="O14" s="49"/>
      <c r="P14" s="47" t="str">
        <f>IF(AND($O14&lt;&gt;"",K14&lt;&gt;""),K14*VLOOKUP($O14,$A$65:$B$67,2),"")</f>
        <v/>
      </c>
      <c r="Q14" s="47" t="str">
        <f>IF(AND($O14&lt;&gt;"",L14&lt;&gt;""),L14*VLOOKUP($O14,$A$65:$B$67,2),"")</f>
        <v/>
      </c>
      <c r="R14" s="47" t="str">
        <f>IF(AND($O14&lt;&gt;"",M14&lt;&gt;""),M14*VLOOKUP($O14,$A$65:$B$67,2),"")</f>
        <v/>
      </c>
      <c r="S14" s="47" t="str">
        <f>IF(AND($O14&lt;&gt;"",N14&lt;&gt;""),N14*VLOOKUP($O14,$A$65:$B$67,2),"")</f>
        <v/>
      </c>
      <c r="T14" s="49" t="str">
        <f>IF(O14&lt;&gt;"",IF(O14=$A$67,$A$66,$A$67),"")</f>
        <v/>
      </c>
    </row>
    <row r="15" spans="1:20" x14ac:dyDescent="0.2">
      <c r="A15" s="34" t="s">
        <v>375</v>
      </c>
      <c r="B15" s="34"/>
      <c r="D15">
        <f>1+LEN(E15)-LEN(SUBSTITUTE(E15,",",""))</f>
        <v>1</v>
      </c>
      <c r="E15" t="s">
        <v>384</v>
      </c>
      <c r="F15" t="s">
        <v>391</v>
      </c>
      <c r="J15" s="49"/>
      <c r="K15" s="47"/>
      <c r="L15" s="47"/>
      <c r="M15" s="47"/>
      <c r="N15" s="47"/>
      <c r="O15" s="49"/>
      <c r="P15" s="47" t="str">
        <f>IF(AND($O15&lt;&gt;"",K15&lt;&gt;""),K15*VLOOKUP($O15,$A$65:$B$67,2),"")</f>
        <v/>
      </c>
      <c r="Q15" s="47" t="str">
        <f>IF(AND($O15&lt;&gt;"",L15&lt;&gt;""),L15*VLOOKUP($O15,$A$65:$B$67,2),"")</f>
        <v/>
      </c>
      <c r="R15" s="47" t="str">
        <f>IF(AND($O15&lt;&gt;"",M15&lt;&gt;""),M15*VLOOKUP($O15,$A$65:$B$67,2),"")</f>
        <v/>
      </c>
      <c r="S15" s="47" t="str">
        <f>IF(AND($O15&lt;&gt;"",N15&lt;&gt;""),N15*VLOOKUP($O15,$A$65:$B$67,2),"")</f>
        <v/>
      </c>
      <c r="T15" s="49" t="str">
        <f>IF(O15&lt;&gt;"",IF(O15=$A$67,$A$66,$A$67),"")</f>
        <v/>
      </c>
    </row>
    <row r="16" spans="1:20" x14ac:dyDescent="0.2">
      <c r="A16" s="34" t="s">
        <v>375</v>
      </c>
      <c r="B16" s="34"/>
      <c r="D16">
        <f>1+LEN(E16)-LEN(SUBSTITUTE(E16,",",""))</f>
        <v>1</v>
      </c>
      <c r="E16" t="s">
        <v>390</v>
      </c>
      <c r="F16" t="s">
        <v>389</v>
      </c>
      <c r="J16" s="49"/>
      <c r="K16" s="47"/>
      <c r="L16" s="47"/>
      <c r="M16" s="47"/>
      <c r="N16" s="47"/>
      <c r="O16" s="49"/>
      <c r="P16" s="47" t="str">
        <f>IF(AND($O16&lt;&gt;"",K16&lt;&gt;""),K16*VLOOKUP($O16,$A$65:$B$67,2),"")</f>
        <v/>
      </c>
      <c r="Q16" s="47" t="str">
        <f>IF(AND($O16&lt;&gt;"",L16&lt;&gt;""),L16*VLOOKUP($O16,$A$65:$B$67,2),"")</f>
        <v/>
      </c>
      <c r="R16" s="47" t="str">
        <f>IF(AND($O16&lt;&gt;"",M16&lt;&gt;""),M16*VLOOKUP($O16,$A$65:$B$67,2),"")</f>
        <v/>
      </c>
      <c r="S16" s="47" t="str">
        <f>IF(AND($O16&lt;&gt;"",N16&lt;&gt;""),N16*VLOOKUP($O16,$A$65:$B$67,2),"")</f>
        <v/>
      </c>
      <c r="T16" s="49" t="str">
        <f>IF(O16&lt;&gt;"",IF(O16=$A$67,$A$66,$A$67),"")</f>
        <v/>
      </c>
    </row>
    <row r="17" spans="1:20" x14ac:dyDescent="0.2">
      <c r="A17" s="34" t="s">
        <v>375</v>
      </c>
      <c r="B17" s="56" t="s">
        <v>507</v>
      </c>
      <c r="C17" s="40" t="s">
        <v>512</v>
      </c>
      <c r="D17">
        <f>1+LEN(E17)-LEN(SUBSTITUTE(E17,",",""))</f>
        <v>1</v>
      </c>
      <c r="E17" s="44" t="s">
        <v>387</v>
      </c>
      <c r="F17" s="40" t="s">
        <v>513</v>
      </c>
      <c r="G17" s="40"/>
      <c r="H17" s="30">
        <v>0.82499999999999996</v>
      </c>
      <c r="I17">
        <v>500</v>
      </c>
      <c r="J17" s="52" t="s">
        <v>416</v>
      </c>
      <c r="K17" s="47">
        <v>12.5</v>
      </c>
      <c r="L17" s="47">
        <v>12.5</v>
      </c>
      <c r="M17" s="47">
        <v>7.5</v>
      </c>
      <c r="N17" s="47"/>
      <c r="O17" s="49" t="s">
        <v>328</v>
      </c>
      <c r="P17" s="47">
        <f>IF(AND($O17&lt;&gt;"",K17&lt;&gt;""),K17*VLOOKUP($O17,$A$65:$B$67,2),"")</f>
        <v>0.49212598425196852</v>
      </c>
      <c r="Q17" s="47">
        <f>IF(AND($O17&lt;&gt;"",L17&lt;&gt;""),L17*VLOOKUP($O17,$A$65:$B$67,2),"")</f>
        <v>0.49212598425196852</v>
      </c>
      <c r="R17" s="47">
        <f>IF(AND($O17&lt;&gt;"",M17&lt;&gt;""),M17*VLOOKUP($O17,$A$65:$B$67,2),"")</f>
        <v>0.29527559055118108</v>
      </c>
      <c r="S17" s="47" t="str">
        <f>IF(AND($O17&lt;&gt;"",N17&lt;&gt;""),N17*VLOOKUP($O17,$A$65:$B$67,2),"")</f>
        <v/>
      </c>
      <c r="T17" s="49" t="str">
        <f>IF(O17&lt;&gt;"",IF(O17=$A$67,$A$66,$A$67),"")</f>
        <v>inch</v>
      </c>
    </row>
    <row r="18" spans="1:20" x14ac:dyDescent="0.2">
      <c r="A18" s="34" t="s">
        <v>373</v>
      </c>
      <c r="B18" s="34" t="s">
        <v>507</v>
      </c>
      <c r="C18" s="40" t="s">
        <v>524</v>
      </c>
      <c r="D18">
        <f>1+LEN(E18)-LEN(SUBSTITUTE(E18,",",""))</f>
        <v>1</v>
      </c>
      <c r="E18" s="44" t="s">
        <v>396</v>
      </c>
      <c r="F18" t="s">
        <v>534</v>
      </c>
      <c r="G18" s="34" t="s">
        <v>520</v>
      </c>
      <c r="H18" s="30">
        <v>1.3639999999999999E-2</v>
      </c>
      <c r="I18">
        <v>250</v>
      </c>
      <c r="J18" s="52" t="s">
        <v>416</v>
      </c>
      <c r="K18" s="47">
        <v>1</v>
      </c>
      <c r="L18" s="47">
        <v>0.5</v>
      </c>
      <c r="M18" s="47"/>
      <c r="O18" s="49" t="s">
        <v>328</v>
      </c>
      <c r="P18" s="47">
        <f>IF(AND($O18&lt;&gt;"",K18&lt;&gt;""),K18*VLOOKUP($O18,$A$65:$B$67,2),"")</f>
        <v>3.937007874015748E-2</v>
      </c>
      <c r="Q18" s="47">
        <f>IF(AND($O18&lt;&gt;"",L18&lt;&gt;""),L18*VLOOKUP($O18,$A$65:$B$67,2),"")</f>
        <v>1.968503937007874E-2</v>
      </c>
      <c r="R18" s="47" t="str">
        <f>IF(AND($O18&lt;&gt;"",M18&lt;&gt;""),M18*VLOOKUP($O18,$A$65:$B$67,2),"")</f>
        <v/>
      </c>
      <c r="S18" s="2" t="str">
        <f>IF(AND($O18&lt;&gt;"",N18&lt;&gt;""),N18*VLOOKUP($O18,$A$65:$B$67,2),"")</f>
        <v/>
      </c>
      <c r="T18" s="49" t="str">
        <f>IF(O18&lt;&gt;"",IF(O18=$A$67,$A$66,$A$67),"")</f>
        <v>inch</v>
      </c>
    </row>
    <row r="19" spans="1:20" x14ac:dyDescent="0.2">
      <c r="A19" s="34" t="s">
        <v>373</v>
      </c>
      <c r="B19" s="34" t="s">
        <v>432</v>
      </c>
      <c r="C19" t="s">
        <v>449</v>
      </c>
      <c r="D19">
        <f>1+LEN(E19)-LEN(SUBSTITUTE(E19,",",""))</f>
        <v>1</v>
      </c>
      <c r="E19" s="44" t="s">
        <v>433</v>
      </c>
      <c r="F19" t="s">
        <v>434</v>
      </c>
      <c r="G19" t="s">
        <v>528</v>
      </c>
      <c r="H19" s="30">
        <v>0.26</v>
      </c>
      <c r="I19">
        <v>250</v>
      </c>
      <c r="J19" s="52" t="s">
        <v>416</v>
      </c>
      <c r="K19" s="47">
        <v>8</v>
      </c>
      <c r="L19" s="47">
        <v>8</v>
      </c>
      <c r="M19" s="47">
        <v>6.2</v>
      </c>
      <c r="N19" s="47"/>
      <c r="O19" s="49" t="s">
        <v>328</v>
      </c>
      <c r="P19" s="47">
        <f>IF(AND($O19&lt;&gt;"",K19&lt;&gt;""),K19*VLOOKUP($O19,$A$65:$B$67,2),"")</f>
        <v>0.31496062992125984</v>
      </c>
      <c r="Q19" s="47">
        <f>IF(AND($O19&lt;&gt;"",L19&lt;&gt;""),L19*VLOOKUP($O19,$A$65:$B$67,2),"")</f>
        <v>0.31496062992125984</v>
      </c>
      <c r="R19" s="47">
        <f>IF(AND($O19&lt;&gt;"",M19&lt;&gt;""),M19*VLOOKUP($O19,$A$65:$B$67,2),"")</f>
        <v>0.24409448818897639</v>
      </c>
      <c r="S19" s="47" t="str">
        <f>IF(AND($O19&lt;&gt;"",N19&lt;&gt;""),N19*VLOOKUP($O19,$A$65:$B$67,2),"")</f>
        <v/>
      </c>
      <c r="T19" s="49" t="str">
        <f>IF(O19&lt;&gt;"",IF(O19=$A$67,$A$66,$A$67),"")</f>
        <v>inch</v>
      </c>
    </row>
    <row r="20" spans="1:20" x14ac:dyDescent="0.2">
      <c r="A20" s="34" t="s">
        <v>373</v>
      </c>
      <c r="B20" s="34" t="s">
        <v>507</v>
      </c>
      <c r="C20" t="s">
        <v>525</v>
      </c>
      <c r="D20">
        <f>1+LEN(E20)-LEN(SUBSTITUTE(E20,",",""))</f>
        <v>1</v>
      </c>
      <c r="E20" s="44" t="s">
        <v>395</v>
      </c>
      <c r="F20" t="s">
        <v>526</v>
      </c>
      <c r="G20" s="34" t="s">
        <v>527</v>
      </c>
      <c r="H20" s="30">
        <v>7.4999999999999997E-2</v>
      </c>
      <c r="I20">
        <v>250</v>
      </c>
      <c r="J20" s="52" t="s">
        <v>416</v>
      </c>
      <c r="K20" s="47">
        <v>2</v>
      </c>
      <c r="L20" s="47">
        <v>1.25</v>
      </c>
      <c r="M20" s="47">
        <v>1.45</v>
      </c>
      <c r="N20" s="47"/>
      <c r="O20" s="49" t="s">
        <v>328</v>
      </c>
      <c r="P20" s="47">
        <f>IF(AND($O20&lt;&gt;"",K20&lt;&gt;""),K20*VLOOKUP($O20,$A$65:$B$67,2),"")</f>
        <v>7.874015748031496E-2</v>
      </c>
      <c r="Q20" s="47">
        <f>IF(AND($O20&lt;&gt;"",L20&lt;&gt;""),L20*VLOOKUP($O20,$A$65:$B$67,2),"")</f>
        <v>4.9212598425196846E-2</v>
      </c>
      <c r="R20" s="47">
        <f>IF(AND($O20&lt;&gt;"",M20&lt;&gt;""),M20*VLOOKUP($O20,$A$65:$B$67,2),"")</f>
        <v>5.7086614173228342E-2</v>
      </c>
      <c r="S20" s="47" t="str">
        <f>IF(AND($O20&lt;&gt;"",N20&lt;&gt;""),N20*VLOOKUP($O20,$A$65:$B$67,2),"")</f>
        <v/>
      </c>
      <c r="T20" s="49" t="str">
        <f>IF(O20&lt;&gt;"",IF(O20=$A$67,$A$66,$A$67),"")</f>
        <v>inch</v>
      </c>
    </row>
    <row r="21" spans="1:20" x14ac:dyDescent="0.2">
      <c r="A21" s="34" t="s">
        <v>373</v>
      </c>
      <c r="B21" s="40" t="s">
        <v>259</v>
      </c>
      <c r="C21" s="40" t="s">
        <v>495</v>
      </c>
      <c r="D21">
        <f>1+LEN(E21)-LEN(SUBSTITUTE(E21,",",""))</f>
        <v>1</v>
      </c>
      <c r="E21" s="44" t="s">
        <v>435</v>
      </c>
      <c r="F21" s="40" t="s">
        <v>496</v>
      </c>
      <c r="G21" s="40" t="s">
        <v>517</v>
      </c>
      <c r="H21" s="30">
        <v>4.752E-2</v>
      </c>
      <c r="I21">
        <v>250</v>
      </c>
      <c r="J21" s="52" t="s">
        <v>416</v>
      </c>
      <c r="K21" s="47">
        <v>3.04</v>
      </c>
      <c r="L21" s="47">
        <v>2.64</v>
      </c>
      <c r="M21" s="47">
        <v>1.22</v>
      </c>
      <c r="N21" s="47"/>
      <c r="O21" s="49" t="s">
        <v>328</v>
      </c>
      <c r="P21" s="47">
        <f>IF(AND($O21&lt;&gt;"",K21&lt;&gt;""),K21*VLOOKUP($O21,$A$65:$B$67,2),"")</f>
        <v>0.11968503937007874</v>
      </c>
      <c r="Q21" s="47">
        <f>IF(AND($O21&lt;&gt;"",L21&lt;&gt;""),L21*VLOOKUP($O21,$A$65:$B$67,2),"")</f>
        <v>0.10393700787401575</v>
      </c>
      <c r="R21" s="47">
        <f>IF(AND($O21&lt;&gt;"",M21&lt;&gt;""),M21*VLOOKUP($O21,$A$65:$B$67,2),"")</f>
        <v>4.8031496062992125E-2</v>
      </c>
      <c r="S21" s="47" t="str">
        <f>IF(AND($O21&lt;&gt;"",N21&lt;&gt;""),N21*VLOOKUP($O21,$A$65:$B$67,2),"")</f>
        <v/>
      </c>
      <c r="T21" s="49" t="str">
        <f>IF(O21&lt;&gt;"",IF(O21=$A$67,$A$66,$A$67),"")</f>
        <v>inch</v>
      </c>
    </row>
    <row r="22" spans="1:20" x14ac:dyDescent="0.2">
      <c r="A22" s="34" t="s">
        <v>373</v>
      </c>
      <c r="B22" s="56" t="s">
        <v>499</v>
      </c>
      <c r="C22" t="s">
        <v>372</v>
      </c>
      <c r="D22">
        <f>1+LEN(E22)-LEN(SUBSTITUTE(E22,",",""))</f>
        <v>1</v>
      </c>
      <c r="E22" s="44" t="s">
        <v>436</v>
      </c>
      <c r="F22" s="40" t="s">
        <v>500</v>
      </c>
      <c r="G22" s="40" t="s">
        <v>518</v>
      </c>
      <c r="H22" s="30">
        <v>1.54</v>
      </c>
      <c r="I22">
        <v>250</v>
      </c>
      <c r="J22" s="52" t="s">
        <v>416</v>
      </c>
      <c r="K22" s="47">
        <v>9.6999999999999993</v>
      </c>
      <c r="L22" s="47">
        <v>6.58</v>
      </c>
      <c r="M22" s="47">
        <v>2.2999999999999998</v>
      </c>
      <c r="N22" s="47"/>
      <c r="O22" s="50" t="s">
        <v>328</v>
      </c>
      <c r="P22" s="47">
        <f>IF(AND($O22&lt;&gt;"",K22&lt;&gt;""),K22*VLOOKUP($O22,$A$65:$B$67,2),"")</f>
        <v>0.38188976377952755</v>
      </c>
      <c r="Q22" s="47">
        <f>IF(AND($O22&lt;&gt;"",L22&lt;&gt;""),L22*VLOOKUP($O22,$A$65:$B$67,2),"")</f>
        <v>0.25905511811023624</v>
      </c>
      <c r="R22" s="47">
        <f>IF(AND($O22&lt;&gt;"",M22&lt;&gt;""),M22*VLOOKUP($O22,$A$65:$B$67,2),"")</f>
        <v>9.0551181102362197E-2</v>
      </c>
      <c r="S22" s="47" t="str">
        <f>IF(AND($O22&lt;&gt;"",N22&lt;&gt;""),N22*VLOOKUP($O22,$A$65:$B$67,2),"")</f>
        <v/>
      </c>
      <c r="T22" s="49" t="str">
        <f>IF(O22&lt;&gt;"",IF(O22=$A$67,$A$66,$A$67),"")</f>
        <v>inch</v>
      </c>
    </row>
    <row r="23" spans="1:20" x14ac:dyDescent="0.2">
      <c r="A23" t="s">
        <v>447</v>
      </c>
      <c r="B23" t="s">
        <v>341</v>
      </c>
      <c r="C23" s="34" t="s">
        <v>529</v>
      </c>
      <c r="D23">
        <f>1+LEN(E23)-LEN(SUBSTITUTE(E23,",",""))</f>
        <v>1</v>
      </c>
      <c r="E23" t="s">
        <v>443</v>
      </c>
      <c r="F23" s="40" t="s">
        <v>444</v>
      </c>
      <c r="G23" s="40"/>
      <c r="J23" s="49"/>
      <c r="K23" s="47">
        <v>9.5</v>
      </c>
      <c r="L23" s="47">
        <v>5</v>
      </c>
      <c r="M23" s="47">
        <v>9.8000000000000007</v>
      </c>
      <c r="N23" s="47">
        <v>3.5</v>
      </c>
      <c r="O23" s="50" t="s">
        <v>328</v>
      </c>
      <c r="P23" s="47">
        <f>IF(AND($O23&lt;&gt;"",K23&lt;&gt;""),K23*VLOOKUP($O23,$A$65:$B$67,2),"")</f>
        <v>0.37401574803149606</v>
      </c>
      <c r="Q23" s="47">
        <f>IF(AND($O23&lt;&gt;"",L23&lt;&gt;""),L23*VLOOKUP($O23,$A$65:$B$67,2),"")</f>
        <v>0.19685039370078738</v>
      </c>
      <c r="R23" s="47">
        <f>IF(AND($O23&lt;&gt;"",M23&lt;&gt;""),M23*VLOOKUP($O23,$A$65:$B$67,2),"")</f>
        <v>0.38582677165354334</v>
      </c>
      <c r="S23" s="47">
        <f>IF(AND($O23&lt;&gt;"",N23&lt;&gt;""),N23*VLOOKUP($O23,$A$65:$B$67,2),"")</f>
        <v>0.13779527559055119</v>
      </c>
      <c r="T23" s="49" t="str">
        <f>IF(O23&lt;&gt;"",IF(O23=$A$67,$A$66,$A$67),"")</f>
        <v>inch</v>
      </c>
    </row>
    <row r="24" spans="1:20" x14ac:dyDescent="0.2">
      <c r="A24" s="40" t="s">
        <v>447</v>
      </c>
      <c r="B24" s="40" t="s">
        <v>341</v>
      </c>
      <c r="C24" s="56" t="s">
        <v>530</v>
      </c>
      <c r="D24">
        <f>1+LEN(E24)-LEN(SUBSTITUTE(E24,",",""))</f>
        <v>1</v>
      </c>
      <c r="E24" s="40" t="s">
        <v>445</v>
      </c>
      <c r="F24" t="s">
        <v>446</v>
      </c>
      <c r="J24" s="49"/>
      <c r="K24" s="47">
        <v>13.24</v>
      </c>
      <c r="L24" s="47">
        <v>5</v>
      </c>
      <c r="M24" s="47">
        <v>9.8000000000000007</v>
      </c>
      <c r="N24" s="47">
        <v>3.5</v>
      </c>
      <c r="O24" s="50" t="s">
        <v>328</v>
      </c>
      <c r="P24" s="47">
        <f>IF(AND($O24&lt;&gt;"",K24&lt;&gt;""),K24*VLOOKUP($O24,$A$65:$B$67,2),"")</f>
        <v>0.52125984251968505</v>
      </c>
      <c r="Q24" s="47">
        <f>IF(AND($O24&lt;&gt;"",L24&lt;&gt;""),L24*VLOOKUP($O24,$A$65:$B$67,2),"")</f>
        <v>0.19685039370078738</v>
      </c>
      <c r="R24" s="47">
        <f>IF(AND($O24&lt;&gt;"",M24&lt;&gt;""),M24*VLOOKUP($O24,$A$65:$B$67,2),"")</f>
        <v>0.38582677165354334</v>
      </c>
      <c r="S24" s="47">
        <f>IF(AND($O24&lt;&gt;"",N24&lt;&gt;""),N24*VLOOKUP($O24,$A$65:$B$67,2),"")</f>
        <v>0.13779527559055119</v>
      </c>
      <c r="T24" s="49" t="str">
        <f>IF(O24&lt;&gt;"",IF(O24=$A$67,$A$66,$A$67),"")</f>
        <v>inch</v>
      </c>
    </row>
    <row r="25" spans="1:20" x14ac:dyDescent="0.2">
      <c r="A25" s="40" t="s">
        <v>447</v>
      </c>
      <c r="B25" t="s">
        <v>481</v>
      </c>
      <c r="C25" t="s">
        <v>480</v>
      </c>
      <c r="D25">
        <f>1+LEN(E25)-LEN(SUBSTITUTE(E25,",",""))</f>
        <v>1</v>
      </c>
      <c r="E25" s="44" t="s">
        <v>414</v>
      </c>
      <c r="F25" s="40" t="s">
        <v>519</v>
      </c>
      <c r="G25" s="40" t="s">
        <v>517</v>
      </c>
      <c r="H25" s="30">
        <v>8.5519999999999999E-2</v>
      </c>
      <c r="I25">
        <v>250</v>
      </c>
      <c r="J25" s="52" t="s">
        <v>416</v>
      </c>
      <c r="K25" s="47">
        <v>3.04</v>
      </c>
      <c r="L25" s="47">
        <v>2.64</v>
      </c>
      <c r="M25" s="47">
        <v>1.22</v>
      </c>
      <c r="N25" s="47"/>
      <c r="O25" s="49" t="s">
        <v>328</v>
      </c>
      <c r="P25" s="47">
        <f>IF(AND($O25&lt;&gt;"",K25&lt;&gt;""),K25*VLOOKUP($O25,$A$65:$B$67,2),"")</f>
        <v>0.11968503937007874</v>
      </c>
      <c r="Q25" s="47">
        <f>IF(AND($O25&lt;&gt;"",L25&lt;&gt;""),L25*VLOOKUP($O25,$A$65:$B$67,2),"")</f>
        <v>0.10393700787401575</v>
      </c>
      <c r="R25" s="47">
        <f>IF(AND($O25&lt;&gt;"",M25&lt;&gt;""),M25*VLOOKUP($O25,$A$65:$B$67,2),"")</f>
        <v>4.8031496062992125E-2</v>
      </c>
      <c r="S25" s="47" t="str">
        <f>IF(AND($O25&lt;&gt;"",N25&lt;&gt;""),N25*VLOOKUP($O25,$A$65:$B$67,2),"")</f>
        <v/>
      </c>
      <c r="T25" s="49" t="str">
        <f>IF(O25&lt;&gt;"",IF(O25=$A$67,$A$66,$A$67),"")</f>
        <v>inch</v>
      </c>
    </row>
    <row r="26" spans="1:20" x14ac:dyDescent="0.2">
      <c r="A26" s="40" t="s">
        <v>447</v>
      </c>
      <c r="B26" s="40" t="s">
        <v>432</v>
      </c>
      <c r="C26" s="40" t="s">
        <v>484</v>
      </c>
      <c r="D26">
        <f>1+LEN(E26)-LEN(SUBSTITUTE(E26,",",""))</f>
        <v>1</v>
      </c>
      <c r="E26" s="44" t="s">
        <v>458</v>
      </c>
      <c r="F26" s="40" t="s">
        <v>485</v>
      </c>
      <c r="G26" s="56" t="s">
        <v>520</v>
      </c>
      <c r="H26" s="30">
        <v>1.3639999999999999E-2</v>
      </c>
      <c r="I26">
        <v>250</v>
      </c>
      <c r="J26" s="52" t="s">
        <v>416</v>
      </c>
      <c r="K26" s="47">
        <v>1</v>
      </c>
      <c r="L26" s="47">
        <v>0.5</v>
      </c>
      <c r="M26" s="47">
        <v>0.4</v>
      </c>
      <c r="N26" s="47"/>
      <c r="O26" s="51" t="s">
        <v>328</v>
      </c>
      <c r="P26" s="47">
        <f>IF(AND($O26&lt;&gt;"",K26&lt;&gt;""),K26*VLOOKUP($O26,$A$65:$B$67,2),"")</f>
        <v>3.937007874015748E-2</v>
      </c>
      <c r="Q26" s="47">
        <f>IF(AND($O26&lt;&gt;"",L26&lt;&gt;""),L26*VLOOKUP($O26,$A$65:$B$67,2),"")</f>
        <v>1.968503937007874E-2</v>
      </c>
      <c r="R26" s="47">
        <f>IF(AND($O26&lt;&gt;"",M26&lt;&gt;""),M26*VLOOKUP($O26,$A$65:$B$67,2),"")</f>
        <v>1.5748031496062992E-2</v>
      </c>
      <c r="S26" s="47" t="str">
        <f>IF(AND($O26&lt;&gt;"",N26&lt;&gt;""),N26*VLOOKUP($O26,$A$65:$B$67,2),"")</f>
        <v/>
      </c>
      <c r="T26" s="49" t="str">
        <f>IF(O26&lt;&gt;"",IF(O26=$A$67,$A$66,$A$67),"")</f>
        <v>inch</v>
      </c>
    </row>
    <row r="27" spans="1:20" x14ac:dyDescent="0.2">
      <c r="A27" s="40" t="s">
        <v>447</v>
      </c>
      <c r="B27" s="40" t="s">
        <v>432</v>
      </c>
      <c r="C27" s="40" t="s">
        <v>487</v>
      </c>
      <c r="D27">
        <f>1+LEN(E27)-LEN(SUBSTITUTE(E27,",",""))</f>
        <v>5</v>
      </c>
      <c r="E27" s="44" t="s">
        <v>462</v>
      </c>
      <c r="F27" s="40" t="s">
        <v>486</v>
      </c>
      <c r="G27" s="56" t="s">
        <v>520</v>
      </c>
      <c r="H27" s="30">
        <v>1.3639999999999999E-2</v>
      </c>
      <c r="I27">
        <v>250</v>
      </c>
      <c r="J27" s="52" t="s">
        <v>416</v>
      </c>
      <c r="K27" s="47">
        <v>1</v>
      </c>
      <c r="L27" s="47">
        <v>0.5</v>
      </c>
      <c r="M27" s="47">
        <v>0.4</v>
      </c>
      <c r="N27" s="47"/>
      <c r="O27" s="51" t="s">
        <v>328</v>
      </c>
      <c r="P27" s="47">
        <f>IF(AND($O27&lt;&gt;"",K27&lt;&gt;""),K27*VLOOKUP($O27,$A$65:$B$67,2),"")</f>
        <v>3.937007874015748E-2</v>
      </c>
      <c r="Q27" s="47">
        <f>IF(AND($O27&lt;&gt;"",L27&lt;&gt;""),L27*VLOOKUP($O27,$A$65:$B$67,2),"")</f>
        <v>1.968503937007874E-2</v>
      </c>
      <c r="R27" s="47">
        <f>IF(AND($O27&lt;&gt;"",M27&lt;&gt;""),M27*VLOOKUP($O27,$A$65:$B$67,2),"")</f>
        <v>1.5748031496062992E-2</v>
      </c>
      <c r="S27" s="47" t="str">
        <f>IF(AND($O27&lt;&gt;"",N27&lt;&gt;""),N27*VLOOKUP($O27,$A$65:$B$67,2),"")</f>
        <v/>
      </c>
      <c r="T27" s="49" t="str">
        <f>IF(O27&lt;&gt;"",IF(O27=$A$67,$A$66,$A$67),"")</f>
        <v>inch</v>
      </c>
    </row>
    <row r="28" spans="1:20" x14ac:dyDescent="0.2">
      <c r="A28" s="40" t="s">
        <v>447</v>
      </c>
      <c r="D28">
        <f>1+LEN(E28)-LEN(SUBSTITUTE(E28,",",""))</f>
        <v>1</v>
      </c>
      <c r="E28" s="40" t="s">
        <v>456</v>
      </c>
      <c r="F28" t="s">
        <v>457</v>
      </c>
      <c r="J28" s="49"/>
      <c r="K28" s="47"/>
      <c r="L28" s="47"/>
      <c r="M28" s="47"/>
      <c r="N28" s="47"/>
      <c r="O28" s="49"/>
      <c r="P28" s="47" t="str">
        <f>IF(AND($O28&lt;&gt;"",K28&lt;&gt;""),K28*VLOOKUP($O28,$A$65:$B$67,2),"")</f>
        <v/>
      </c>
      <c r="Q28" s="47" t="str">
        <f>IF(AND($O28&lt;&gt;"",L28&lt;&gt;""),L28*VLOOKUP($O28,$A$65:$B$67,2),"")</f>
        <v/>
      </c>
      <c r="R28" s="47" t="str">
        <f>IF(AND($O28&lt;&gt;"",M28&lt;&gt;""),M28*VLOOKUP($O28,$A$65:$B$67,2),"")</f>
        <v/>
      </c>
      <c r="S28" s="47" t="str">
        <f>IF(AND($O28&lt;&gt;"",N28&lt;&gt;""),N28*VLOOKUP($O28,$A$65:$B$67,2),"")</f>
        <v/>
      </c>
      <c r="T28" s="49" t="str">
        <f>IF(O28&lt;&gt;"",IF(O28=$A$67,$A$66,$A$67),"")</f>
        <v/>
      </c>
    </row>
    <row r="29" spans="1:20" x14ac:dyDescent="0.2">
      <c r="A29" s="40" t="s">
        <v>447</v>
      </c>
      <c r="B29" s="38" t="s">
        <v>342</v>
      </c>
      <c r="C29" s="38" t="s">
        <v>343</v>
      </c>
      <c r="D29">
        <f>1+LEN(E29)-LEN(SUBSTITUTE(E29,",",""))</f>
        <v>1</v>
      </c>
      <c r="E29" s="44" t="s">
        <v>461</v>
      </c>
      <c r="F29" t="s">
        <v>540</v>
      </c>
      <c r="H29" s="30">
        <v>2.2058</v>
      </c>
      <c r="I29">
        <v>100</v>
      </c>
      <c r="J29" s="52" t="s">
        <v>416</v>
      </c>
      <c r="K29" s="47">
        <v>14</v>
      </c>
      <c r="L29" s="47">
        <v>14</v>
      </c>
      <c r="M29" s="47">
        <v>7.7</v>
      </c>
      <c r="N29" s="47"/>
      <c r="O29" s="50" t="s">
        <v>328</v>
      </c>
      <c r="P29" s="47">
        <f>IF(AND($O29&lt;&gt;"",K29&lt;&gt;""),K29*VLOOKUP($O29,$A$65:$B$67,2),"")</f>
        <v>0.55118110236220474</v>
      </c>
      <c r="Q29" s="47">
        <f>IF(AND($O29&lt;&gt;"",L29&lt;&gt;""),L29*VLOOKUP($O29,$A$65:$B$67,2),"")</f>
        <v>0.55118110236220474</v>
      </c>
      <c r="R29" s="47">
        <f>IF(AND($O29&lt;&gt;"",M29&lt;&gt;""),M29*VLOOKUP($O29,$A$65:$B$67,2),"")</f>
        <v>0.30314960629921262</v>
      </c>
      <c r="S29" s="47" t="str">
        <f>IF(AND($O29&lt;&gt;"",N29&lt;&gt;""),N29*VLOOKUP($O29,$A$65:$B$67,2),"")</f>
        <v/>
      </c>
      <c r="T29" s="49" t="str">
        <f>IF(O29&lt;&gt;"",IF(O29=$A$67,$A$66,$A$67),"")</f>
        <v>inch</v>
      </c>
    </row>
    <row r="30" spans="1:20" ht="15" customHeight="1" x14ac:dyDescent="0.2">
      <c r="A30" t="s">
        <v>223</v>
      </c>
      <c r="B30" s="34" t="s">
        <v>507</v>
      </c>
      <c r="C30" t="s">
        <v>525</v>
      </c>
      <c r="D30">
        <f>1+LEN(E30)-LEN(SUBSTITUTE(E30,",",""))</f>
        <v>1</v>
      </c>
      <c r="E30" s="44" t="s">
        <v>407</v>
      </c>
      <c r="F30" t="s">
        <v>526</v>
      </c>
      <c r="G30" s="34" t="s">
        <v>527</v>
      </c>
      <c r="H30" s="30">
        <v>7.4999999999999997E-2</v>
      </c>
      <c r="I30">
        <v>250</v>
      </c>
      <c r="J30" s="52" t="s">
        <v>416</v>
      </c>
      <c r="K30" s="47">
        <v>2</v>
      </c>
      <c r="L30" s="47">
        <v>1.25</v>
      </c>
      <c r="M30" s="47"/>
      <c r="N30" s="47"/>
      <c r="O30" s="49" t="s">
        <v>328</v>
      </c>
      <c r="P30" s="47">
        <f>IF(AND($O30&lt;&gt;"",K30&lt;&gt;""),K30*VLOOKUP($O30,$A$65:$B$67,2),"")</f>
        <v>7.874015748031496E-2</v>
      </c>
      <c r="Q30" s="47">
        <f>IF(AND($O30&lt;&gt;"",L30&lt;&gt;""),L30*VLOOKUP($O30,$A$65:$B$67,2),"")</f>
        <v>4.9212598425196846E-2</v>
      </c>
      <c r="R30" s="47" t="str">
        <f>IF(AND($O30&lt;&gt;"",M30&lt;&gt;""),M30*VLOOKUP($O30,$A$65:$B$67,2),"")</f>
        <v/>
      </c>
      <c r="S30" s="47" t="str">
        <f>IF(AND($O30&lt;&gt;"",N30&lt;&gt;""),N30*VLOOKUP($O30,$A$65:$B$67,2),"")</f>
        <v/>
      </c>
      <c r="T30" s="49" t="str">
        <f>IF(O30&lt;&gt;"",IF(O30=$A$67,$A$66,$A$67),"")</f>
        <v>inch</v>
      </c>
    </row>
    <row r="31" spans="1:20" ht="12.75" customHeight="1" x14ac:dyDescent="0.2">
      <c r="A31" t="s">
        <v>223</v>
      </c>
      <c r="B31" t="s">
        <v>507</v>
      </c>
      <c r="C31" t="s">
        <v>537</v>
      </c>
      <c r="D31">
        <f>1+LEN(E31)-LEN(SUBSTITUTE(E31,",",""))</f>
        <v>1</v>
      </c>
      <c r="E31" s="44" t="s">
        <v>408</v>
      </c>
      <c r="F31" t="s">
        <v>538</v>
      </c>
      <c r="G31" s="34" t="s">
        <v>539</v>
      </c>
      <c r="H31" s="30">
        <v>3.9E-2</v>
      </c>
      <c r="I31">
        <v>250</v>
      </c>
      <c r="J31" s="52" t="s">
        <v>416</v>
      </c>
      <c r="K31" s="47">
        <v>1.6</v>
      </c>
      <c r="L31" s="47">
        <v>0.8</v>
      </c>
      <c r="M31" s="47">
        <v>0.95</v>
      </c>
      <c r="N31" s="47"/>
      <c r="O31" s="49" t="s">
        <v>328</v>
      </c>
      <c r="P31" s="47">
        <f>IF(AND($O31&lt;&gt;"",K31&lt;&gt;""),K31*VLOOKUP($O31,$A$65:$B$67,2),"")</f>
        <v>6.2992125984251968E-2</v>
      </c>
      <c r="Q31" s="47">
        <f>IF(AND($O31&lt;&gt;"",L31&lt;&gt;""),L31*VLOOKUP($O31,$A$65:$B$67,2),"")</f>
        <v>3.1496062992125984E-2</v>
      </c>
      <c r="R31" s="47">
        <f>IF(AND($O31&lt;&gt;"",M31&lt;&gt;""),M31*VLOOKUP($O31,$A$65:$B$67,2),"")</f>
        <v>3.7401574803149602E-2</v>
      </c>
      <c r="S31" s="47" t="str">
        <f>IF(AND($O31&lt;&gt;"",N31&lt;&gt;""),N31*VLOOKUP($O31,$A$65:$B$67,2),"")</f>
        <v/>
      </c>
      <c r="T31" s="49" t="str">
        <f>IF(O31&lt;&gt;"",IF(O31=$A$67,$A$66,$A$67),"")</f>
        <v>inch</v>
      </c>
    </row>
    <row r="32" spans="1:20" x14ac:dyDescent="0.2">
      <c r="A32" t="s">
        <v>223</v>
      </c>
      <c r="D32">
        <f>1+LEN(E32)-LEN(SUBSTITUTE(E32,",",""))</f>
        <v>1</v>
      </c>
      <c r="E32" t="s">
        <v>412</v>
      </c>
      <c r="F32" t="s">
        <v>411</v>
      </c>
      <c r="J32" s="49"/>
      <c r="K32" s="47"/>
      <c r="L32" s="47"/>
      <c r="M32" s="47"/>
      <c r="N32" s="47"/>
      <c r="O32" s="49"/>
      <c r="P32" s="47" t="str">
        <f>IF(AND($O32&lt;&gt;"",K32&lt;&gt;""),K32*VLOOKUP($O32,$A$65:$B$67,2),"")</f>
        <v/>
      </c>
      <c r="Q32" s="47" t="str">
        <f>IF(AND($O32&lt;&gt;"",L32&lt;&gt;""),L32*VLOOKUP($O32,$A$65:$B$67,2),"")</f>
        <v/>
      </c>
      <c r="R32" s="47" t="str">
        <f>IF(AND($O32&lt;&gt;"",M32&lt;&gt;""),M32*VLOOKUP($O32,$A$65:$B$67,2),"")</f>
        <v/>
      </c>
      <c r="S32" s="47" t="str">
        <f>IF(AND($O32&lt;&gt;"",N32&lt;&gt;""),N32*VLOOKUP($O32,$A$65:$B$67,2),"")</f>
        <v/>
      </c>
      <c r="T32" s="49" t="str">
        <f>IF(O32&lt;&gt;"",IF(O32=$A$67,$A$66,$A$67),"")</f>
        <v/>
      </c>
    </row>
    <row r="33" spans="1:20" x14ac:dyDescent="0.2">
      <c r="A33" t="s">
        <v>223</v>
      </c>
      <c r="B33" t="s">
        <v>274</v>
      </c>
      <c r="C33" t="s">
        <v>531</v>
      </c>
      <c r="D33">
        <f>1+LEN(E33)-LEN(SUBSTITUTE(E33,",",""))</f>
        <v>1</v>
      </c>
      <c r="E33" s="44" t="s">
        <v>533</v>
      </c>
      <c r="F33" t="s">
        <v>79</v>
      </c>
      <c r="G33" t="s">
        <v>532</v>
      </c>
      <c r="H33" s="30">
        <v>1.2693000000000001</v>
      </c>
      <c r="I33">
        <v>100</v>
      </c>
      <c r="J33" s="52" t="s">
        <v>416</v>
      </c>
      <c r="K33" s="47">
        <v>5</v>
      </c>
      <c r="L33" s="47">
        <v>6</v>
      </c>
      <c r="M33" s="47">
        <v>1.75</v>
      </c>
      <c r="N33" s="47"/>
      <c r="O33" s="49" t="s">
        <v>328</v>
      </c>
      <c r="P33" s="47">
        <f>IF(AND($O33&lt;&gt;"",K33&lt;&gt;""),K33*VLOOKUP($O33,$A$65:$B$67,2),"")</f>
        <v>0.19685039370078738</v>
      </c>
      <c r="Q33" s="47">
        <f>IF(AND($O33&lt;&gt;"",L33&lt;&gt;""),L33*VLOOKUP($O33,$A$65:$B$67,2),"")</f>
        <v>0.23622047244094488</v>
      </c>
      <c r="R33" s="47">
        <f>IF(AND($O33&lt;&gt;"",M33&lt;&gt;""),M33*VLOOKUP($O33,$A$65:$B$67,2),"")</f>
        <v>6.8897637795275593E-2</v>
      </c>
      <c r="S33" s="47" t="str">
        <f>IF(AND($O33&lt;&gt;"",N33&lt;&gt;""),N33*VLOOKUP($O33,$A$65:$B$67,2),"")</f>
        <v/>
      </c>
      <c r="T33" s="49" t="str">
        <f>IF(O33&lt;&gt;"",IF(O33=$A$67,$A$66,$A$67),"")</f>
        <v>inch</v>
      </c>
    </row>
    <row r="34" spans="1:20" x14ac:dyDescent="0.2">
      <c r="A34" t="s">
        <v>223</v>
      </c>
      <c r="D34">
        <f>1+LEN(E34)-LEN(SUBSTITUTE(E34,",",""))</f>
        <v>1</v>
      </c>
      <c r="E34" s="44" t="s">
        <v>455</v>
      </c>
      <c r="F34" s="40" t="s">
        <v>483</v>
      </c>
      <c r="G34" s="40" t="s">
        <v>517</v>
      </c>
      <c r="H34" s="30">
        <v>8.5519999999999999E-2</v>
      </c>
      <c r="I34">
        <v>250</v>
      </c>
      <c r="J34" s="52" t="s">
        <v>416</v>
      </c>
      <c r="K34" s="47">
        <v>3.04</v>
      </c>
      <c r="L34" s="47">
        <v>2.64</v>
      </c>
      <c r="M34" s="47">
        <v>1.22</v>
      </c>
      <c r="N34" s="47"/>
      <c r="O34" s="49" t="s">
        <v>328</v>
      </c>
      <c r="P34" s="47">
        <f>IF(AND($O34&lt;&gt;"",K34&lt;&gt;""),K34*VLOOKUP($O34,$A$65:$B$67,2),"")</f>
        <v>0.11968503937007874</v>
      </c>
      <c r="Q34" s="47">
        <f>IF(AND($O34&lt;&gt;"",L34&lt;&gt;""),L34*VLOOKUP($O34,$A$65:$B$67,2),"")</f>
        <v>0.10393700787401575</v>
      </c>
      <c r="R34" s="47">
        <f>IF(AND($O34&lt;&gt;"",M34&lt;&gt;""),M34*VLOOKUP($O34,$A$65:$B$67,2),"")</f>
        <v>4.8031496062992125E-2</v>
      </c>
      <c r="S34" s="47" t="str">
        <f>IF(AND($O34&lt;&gt;"",N34&lt;&gt;""),N34*VLOOKUP($O34,$A$65:$B$67,2),"")</f>
        <v/>
      </c>
      <c r="T34" s="49" t="str">
        <f>IF(O34&lt;&gt;"",IF(O34=$A$67,$A$66,$A$67),"")</f>
        <v>inch</v>
      </c>
    </row>
    <row r="35" spans="1:20" x14ac:dyDescent="0.2">
      <c r="A35" t="s">
        <v>223</v>
      </c>
      <c r="D35">
        <f>1+LEN(E35)-LEN(SUBSTITUTE(E35,",",""))</f>
        <v>1</v>
      </c>
      <c r="E35" s="40" t="s">
        <v>482</v>
      </c>
      <c r="F35" t="s">
        <v>413</v>
      </c>
      <c r="J35" s="49"/>
      <c r="K35" s="47"/>
      <c r="L35" s="47"/>
      <c r="M35" s="47"/>
      <c r="N35" s="47"/>
      <c r="O35" s="49"/>
      <c r="P35" s="47" t="str">
        <f>IF(AND($O35&lt;&gt;"",K35&lt;&gt;""),K35*VLOOKUP($O35,$A$65:$B$67,2),"")</f>
        <v/>
      </c>
      <c r="Q35" s="47" t="str">
        <f>IF(AND($O35&lt;&gt;"",L35&lt;&gt;""),L35*VLOOKUP($O35,$A$65:$B$67,2),"")</f>
        <v/>
      </c>
      <c r="R35" s="47" t="str">
        <f>IF(AND($O35&lt;&gt;"",M35&lt;&gt;""),M35*VLOOKUP($O35,$A$65:$B$67,2),"")</f>
        <v/>
      </c>
      <c r="S35" s="47" t="str">
        <f>IF(AND($O35&lt;&gt;"",N35&lt;&gt;""),N35*VLOOKUP($O35,$A$65:$B$67,2),"")</f>
        <v/>
      </c>
      <c r="T35" s="49" t="str">
        <f>IF(O35&lt;&gt;"",IF(O35=$A$67,$A$66,$A$67),"")</f>
        <v/>
      </c>
    </row>
    <row r="36" spans="1:20" x14ac:dyDescent="0.2">
      <c r="A36" t="s">
        <v>223</v>
      </c>
      <c r="B36" s="40" t="s">
        <v>432</v>
      </c>
      <c r="C36" s="40" t="s">
        <v>503</v>
      </c>
      <c r="D36">
        <f>1+LEN(E36)-LEN(SUBSTITUTE(E36,",",""))</f>
        <v>1</v>
      </c>
      <c r="E36" s="44" t="s">
        <v>406</v>
      </c>
      <c r="F36" s="40" t="s">
        <v>535</v>
      </c>
      <c r="G36" s="56" t="s">
        <v>520</v>
      </c>
      <c r="H36" s="30">
        <v>1.3639999999999999E-2</v>
      </c>
      <c r="I36">
        <v>250</v>
      </c>
      <c r="J36" s="52" t="s">
        <v>416</v>
      </c>
      <c r="K36" s="47">
        <v>1</v>
      </c>
      <c r="L36" s="47">
        <v>0.5</v>
      </c>
      <c r="M36" s="47">
        <v>0.4</v>
      </c>
      <c r="N36" s="47"/>
      <c r="O36" s="51" t="s">
        <v>328</v>
      </c>
      <c r="P36" s="47">
        <f>IF(AND($O36&lt;&gt;"",K36&lt;&gt;""),K36*VLOOKUP($O36,$A$65:$B$67,2),"")</f>
        <v>3.937007874015748E-2</v>
      </c>
      <c r="Q36" s="47">
        <f>IF(AND($O36&lt;&gt;"",L36&lt;&gt;""),L36*VLOOKUP($O36,$A$65:$B$67,2),"")</f>
        <v>1.968503937007874E-2</v>
      </c>
      <c r="R36" s="47">
        <f>IF(AND($O36&lt;&gt;"",M36&lt;&gt;""),M36*VLOOKUP($O36,$A$65:$B$67,2),"")</f>
        <v>1.5748031496062992E-2</v>
      </c>
      <c r="S36" s="47" t="str">
        <f>IF(AND($O36&lt;&gt;"",N36&lt;&gt;""),N36*VLOOKUP($O36,$A$65:$B$67,2),"")</f>
        <v/>
      </c>
      <c r="T36" s="49" t="str">
        <f>IF(O36&lt;&gt;"",IF(O36=$A$67,$A$66,$A$67),"")</f>
        <v>inch</v>
      </c>
    </row>
    <row r="37" spans="1:20" x14ac:dyDescent="0.2">
      <c r="A37" t="s">
        <v>223</v>
      </c>
      <c r="D37">
        <f>1+LEN(E37)-LEN(SUBSTITUTE(E37,",",""))</f>
        <v>1</v>
      </c>
      <c r="E37" t="s">
        <v>410</v>
      </c>
      <c r="F37" t="s">
        <v>383</v>
      </c>
      <c r="J37" s="49"/>
      <c r="K37" s="47"/>
      <c r="L37" s="47"/>
      <c r="M37" s="47"/>
      <c r="N37" s="47"/>
      <c r="O37" s="49"/>
      <c r="P37" s="47" t="str">
        <f>IF(AND($O37&lt;&gt;"",K37&lt;&gt;""),K37*VLOOKUP($O37,$A$65:$B$67,2),"")</f>
        <v/>
      </c>
      <c r="Q37" s="47" t="str">
        <f>IF(AND($O37&lt;&gt;"",L37&lt;&gt;""),L37*VLOOKUP($O37,$A$65:$B$67,2),"")</f>
        <v/>
      </c>
      <c r="R37" s="47" t="str">
        <f>IF(AND($O37&lt;&gt;"",M37&lt;&gt;""),M37*VLOOKUP($O37,$A$65:$B$67,2),"")</f>
        <v/>
      </c>
      <c r="S37" s="47" t="str">
        <f>IF(AND($O37&lt;&gt;"",N37&lt;&gt;""),N37*VLOOKUP($O37,$A$65:$B$67,2),"")</f>
        <v/>
      </c>
      <c r="T37" s="49" t="str">
        <f>IF(O37&lt;&gt;"",IF(O37=$A$67,$A$66,$A$67),"")</f>
        <v/>
      </c>
    </row>
    <row r="38" spans="1:20" x14ac:dyDescent="0.2">
      <c r="A38" t="s">
        <v>223</v>
      </c>
      <c r="D38">
        <f>1+LEN(E38)-LEN(SUBSTITUTE(E38,",",""))</f>
        <v>1</v>
      </c>
      <c r="E38" t="s">
        <v>409</v>
      </c>
      <c r="F38" t="s">
        <v>383</v>
      </c>
      <c r="J38" s="49"/>
      <c r="K38" s="47"/>
      <c r="L38" s="47"/>
      <c r="M38" s="47"/>
      <c r="N38" s="47"/>
      <c r="O38" s="49"/>
      <c r="P38" s="47" t="str">
        <f>IF(AND($O38&lt;&gt;"",K38&lt;&gt;""),K38*VLOOKUP($O38,$A$65:$B$67,2),"")</f>
        <v/>
      </c>
      <c r="Q38" s="47" t="str">
        <f>IF(AND($O38&lt;&gt;"",L38&lt;&gt;""),L38*VLOOKUP($O38,$A$65:$B$67,2),"")</f>
        <v/>
      </c>
      <c r="R38" s="47" t="str">
        <f>IF(AND($O38&lt;&gt;"",M38&lt;&gt;""),M38*VLOOKUP($O38,$A$65:$B$67,2),"")</f>
        <v/>
      </c>
      <c r="S38" s="47" t="str">
        <f>IF(AND($O38&lt;&gt;"",N38&lt;&gt;""),N38*VLOOKUP($O38,$A$65:$B$67,2),"")</f>
        <v/>
      </c>
      <c r="T38" s="49" t="str">
        <f>IF(O38&lt;&gt;"",IF(O38=$A$67,$A$66,$A$67),"")</f>
        <v/>
      </c>
    </row>
    <row r="39" spans="1:20" x14ac:dyDescent="0.2">
      <c r="A39" t="s">
        <v>220</v>
      </c>
      <c r="B39" s="34" t="s">
        <v>507</v>
      </c>
      <c r="C39" s="40" t="s">
        <v>524</v>
      </c>
      <c r="D39">
        <f>1+LEN(E39)-LEN(SUBSTITUTE(E39,",",""))</f>
        <v>1</v>
      </c>
      <c r="E39" s="44" t="s">
        <v>459</v>
      </c>
      <c r="F39" t="s">
        <v>534</v>
      </c>
      <c r="G39" s="34" t="s">
        <v>520</v>
      </c>
      <c r="H39" s="30">
        <v>1.3639999999999999E-2</v>
      </c>
      <c r="I39">
        <v>250</v>
      </c>
      <c r="J39" s="52" t="s">
        <v>416</v>
      </c>
      <c r="K39" s="47">
        <v>1</v>
      </c>
      <c r="L39" s="47">
        <v>0.5</v>
      </c>
      <c r="M39" s="47"/>
      <c r="O39" s="49" t="s">
        <v>328</v>
      </c>
      <c r="P39" s="2"/>
      <c r="Q39" s="2"/>
      <c r="R39" s="2"/>
      <c r="S39" s="2"/>
      <c r="T39" s="49" t="str">
        <f>IF(O39&lt;&gt;"",IF(O39=$A$67,$A$66,$A$67),"")</f>
        <v>inch</v>
      </c>
    </row>
    <row r="40" spans="1:20" x14ac:dyDescent="0.2">
      <c r="A40" t="s">
        <v>220</v>
      </c>
      <c r="B40" t="s">
        <v>450</v>
      </c>
      <c r="C40" t="s">
        <v>325</v>
      </c>
      <c r="D40">
        <f>1+LEN(E40)-LEN(SUBSTITUTE(E40,",",""))</f>
        <v>1</v>
      </c>
      <c r="E40" s="44" t="s">
        <v>451</v>
      </c>
      <c r="F40" t="s">
        <v>453</v>
      </c>
      <c r="H40" s="30">
        <v>2.08</v>
      </c>
      <c r="I40">
        <v>300</v>
      </c>
      <c r="J40" s="52" t="s">
        <v>416</v>
      </c>
      <c r="K40" s="47">
        <v>17.899999999999999</v>
      </c>
      <c r="L40" s="47">
        <v>10.3</v>
      </c>
      <c r="M40" s="47">
        <v>2.65</v>
      </c>
      <c r="N40" s="47"/>
      <c r="O40" s="51" t="s">
        <v>328</v>
      </c>
      <c r="P40" s="47">
        <f>IF(AND($O40&lt;&gt;"",K40&lt;&gt;""),K40*VLOOKUP($O40,$A$65:$B$67,2),"")</f>
        <v>0.70472440944881887</v>
      </c>
      <c r="Q40" s="47">
        <f>IF(AND($O40&lt;&gt;"",L40&lt;&gt;""),L40*VLOOKUP($O40,$A$65:$B$67,2),"")</f>
        <v>0.40551181102362205</v>
      </c>
      <c r="R40" s="47">
        <f>IF(AND($O40&lt;&gt;"",M40&lt;&gt;""),M40*VLOOKUP($O40,$A$65:$B$67,2),"")</f>
        <v>0.10433070866141732</v>
      </c>
      <c r="S40" s="47" t="str">
        <f>IF(AND($O40&lt;&gt;"",N40&lt;&gt;""),N40*VLOOKUP($O40,$A$65:$B$67,2),"")</f>
        <v/>
      </c>
      <c r="T40" s="49" t="str">
        <f>IF(O40&lt;&gt;"",IF(O40=$A$67,$A$66,$A$67),"")</f>
        <v>inch</v>
      </c>
    </row>
    <row r="41" spans="1:20" x14ac:dyDescent="0.2">
      <c r="A41" t="s">
        <v>220</v>
      </c>
      <c r="B41" s="40" t="s">
        <v>573</v>
      </c>
      <c r="C41" s="40" t="s">
        <v>574</v>
      </c>
      <c r="D41">
        <f>1+LEN(E41)-LEN(SUBSTITUTE(E41,",",""))</f>
        <v>1</v>
      </c>
      <c r="E41" s="44" t="s">
        <v>576</v>
      </c>
      <c r="F41" s="40" t="s">
        <v>575</v>
      </c>
      <c r="H41" s="30">
        <v>0.64400000000000002</v>
      </c>
      <c r="I41">
        <v>250</v>
      </c>
      <c r="J41" s="52" t="s">
        <v>416</v>
      </c>
      <c r="K41" s="47">
        <v>18.28</v>
      </c>
      <c r="L41" s="47">
        <v>2.5</v>
      </c>
      <c r="M41" s="47">
        <v>7.1</v>
      </c>
      <c r="N41" s="47"/>
      <c r="O41" s="51" t="s">
        <v>328</v>
      </c>
      <c r="P41" s="47">
        <f>IF(AND($O41&lt;&gt;"",K41&lt;&gt;""),K41*VLOOKUP($O41,$A$65:$B$67,2),"")</f>
        <v>0.71968503937007877</v>
      </c>
      <c r="Q41" s="47">
        <f>IF(AND($O41&lt;&gt;"",L41&lt;&gt;""),L41*VLOOKUP($O41,$A$65:$B$67,2),"")</f>
        <v>9.8425196850393692E-2</v>
      </c>
      <c r="R41" s="47">
        <f>IF(AND($O41&lt;&gt;"",M41&lt;&gt;""),M41*VLOOKUP($O41,$A$65:$B$67,2),"")</f>
        <v>0.27952755905511811</v>
      </c>
      <c r="S41" s="47" t="str">
        <f>IF(AND($O41&lt;&gt;"",N41&lt;&gt;""),N41*VLOOKUP($O41,$A$65:$B$67,2),"")</f>
        <v/>
      </c>
      <c r="T41" s="49" t="str">
        <f>IF(O41&lt;&gt;"",IF(O41=$A$67,$A$66,$A$67),"")</f>
        <v>inch</v>
      </c>
    </row>
    <row r="42" spans="1:20" x14ac:dyDescent="0.2">
      <c r="A42" t="s">
        <v>220</v>
      </c>
      <c r="B42" s="40" t="s">
        <v>432</v>
      </c>
      <c r="C42" s="40" t="s">
        <v>493</v>
      </c>
      <c r="D42">
        <f>1+LEN(E42)-LEN(SUBSTITUTE(E42,",",""))</f>
        <v>1</v>
      </c>
      <c r="E42" s="44" t="s">
        <v>452</v>
      </c>
      <c r="F42" s="40" t="s">
        <v>492</v>
      </c>
      <c r="G42" s="56" t="s">
        <v>521</v>
      </c>
      <c r="H42" s="30">
        <v>1.3639999999999999E-2</v>
      </c>
      <c r="I42">
        <v>250</v>
      </c>
      <c r="J42" s="52" t="s">
        <v>416</v>
      </c>
      <c r="K42" s="47">
        <v>3.2</v>
      </c>
      <c r="L42" s="47">
        <v>1.6</v>
      </c>
      <c r="M42" s="47">
        <v>0.7</v>
      </c>
      <c r="N42" s="47"/>
      <c r="O42" s="51" t="s">
        <v>328</v>
      </c>
      <c r="P42" s="47">
        <f>IF(AND($O42&lt;&gt;"",K42&lt;&gt;""),K42*VLOOKUP($O42,$A$65:$B$67,2),"")</f>
        <v>0.12598425196850394</v>
      </c>
      <c r="Q42" s="47">
        <f>IF(AND($O42&lt;&gt;"",L42&lt;&gt;""),L42*VLOOKUP($O42,$A$65:$B$67,2),"")</f>
        <v>6.2992125984251968E-2</v>
      </c>
      <c r="R42" s="47">
        <f>IF(AND($O42&lt;&gt;"",M42&lt;&gt;""),M42*VLOOKUP($O42,$A$65:$B$67,2),"")</f>
        <v>2.7559055118110232E-2</v>
      </c>
      <c r="S42" s="47" t="str">
        <f>IF(AND($O42&lt;&gt;"",N42&lt;&gt;""),N42*VLOOKUP($O42,$A$65:$B$67,2),"")</f>
        <v/>
      </c>
      <c r="T42" s="49" t="str">
        <f>IF(O42&lt;&gt;"",IF(O42=$A$67,$A$66,$A$67),"")</f>
        <v>inch</v>
      </c>
    </row>
    <row r="43" spans="1:20" ht="15" customHeight="1" x14ac:dyDescent="0.2">
      <c r="A43" t="s">
        <v>397</v>
      </c>
      <c r="B43" s="34" t="s">
        <v>507</v>
      </c>
      <c r="C43" t="s">
        <v>525</v>
      </c>
      <c r="D43">
        <f>1+LEN(E43)-LEN(SUBSTITUTE(E43,",",""))</f>
        <v>1</v>
      </c>
      <c r="E43" s="44" t="s">
        <v>401</v>
      </c>
      <c r="F43" t="s">
        <v>526</v>
      </c>
      <c r="G43" s="34" t="s">
        <v>527</v>
      </c>
      <c r="H43" s="30">
        <v>7.4999999999999997E-2</v>
      </c>
      <c r="I43">
        <v>250</v>
      </c>
      <c r="J43" s="52" t="s">
        <v>416</v>
      </c>
      <c r="K43" s="47">
        <v>2</v>
      </c>
      <c r="L43" s="47">
        <v>1.25</v>
      </c>
      <c r="M43" s="47"/>
      <c r="N43" s="47"/>
      <c r="O43" s="49" t="s">
        <v>328</v>
      </c>
      <c r="P43" s="2">
        <f>IF(AND($O43&lt;&gt;"",K43&lt;&gt;""),K43*VLOOKUP($O43,$A$65:$B$67,2),"")</f>
        <v>7.874015748031496E-2</v>
      </c>
      <c r="Q43" s="2">
        <f>IF(AND($O43&lt;&gt;"",L43&lt;&gt;""),L43*VLOOKUP($O43,$A$65:$B$67,2),"")</f>
        <v>4.9212598425196846E-2</v>
      </c>
      <c r="R43" s="2" t="str">
        <f>IF(AND($O43&lt;&gt;"",M43&lt;&gt;""),M43*VLOOKUP($O43,$A$65:$B$67,2),"")</f>
        <v/>
      </c>
      <c r="S43" s="2" t="str">
        <f>IF(AND($O43&lt;&gt;"",N43&lt;&gt;""),N43*VLOOKUP($O43,$A$65:$B$67,2),"")</f>
        <v/>
      </c>
      <c r="T43" s="49" t="str">
        <f>IF(O43&lt;&gt;"",IF(O43=$A$67,$A$66,$A$67),"")</f>
        <v>inch</v>
      </c>
    </row>
    <row r="44" spans="1:20" ht="12.75" customHeight="1" x14ac:dyDescent="0.2">
      <c r="A44" t="s">
        <v>397</v>
      </c>
      <c r="B44" s="40" t="s">
        <v>274</v>
      </c>
      <c r="C44" t="s">
        <v>398</v>
      </c>
      <c r="D44">
        <f>1+LEN(E44)-LEN(SUBSTITUTE(E44,",",""))</f>
        <v>1</v>
      </c>
      <c r="E44" s="44" t="s">
        <v>399</v>
      </c>
      <c r="F44" s="40" t="s">
        <v>92</v>
      </c>
      <c r="G44" s="40" t="s">
        <v>522</v>
      </c>
      <c r="H44" s="30">
        <v>5.4107000000000003</v>
      </c>
      <c r="I44">
        <v>100</v>
      </c>
      <c r="J44" s="52" t="s">
        <v>416</v>
      </c>
      <c r="K44" s="47">
        <v>15</v>
      </c>
      <c r="L44" s="47">
        <v>10</v>
      </c>
      <c r="M44" s="47">
        <v>4.4000000000000004</v>
      </c>
      <c r="N44" s="47"/>
      <c r="O44" s="51" t="s">
        <v>328</v>
      </c>
      <c r="P44" s="47">
        <f>IF(AND($O44&lt;&gt;"",K44&lt;&gt;""),K44*VLOOKUP($O44,$A$65:$B$67,2),"")</f>
        <v>0.59055118110236215</v>
      </c>
      <c r="Q44" s="47">
        <f>IF(AND($O44&lt;&gt;"",L44&lt;&gt;""),L44*VLOOKUP($O44,$A$65:$B$67,2),"")</f>
        <v>0.39370078740157477</v>
      </c>
      <c r="R44" s="47">
        <f>IF(AND($O44&lt;&gt;"",M44&lt;&gt;""),M44*VLOOKUP($O44,$A$65:$B$67,2),"")</f>
        <v>0.17322834645669294</v>
      </c>
      <c r="S44" s="47" t="str">
        <f>IF(AND($O44&lt;&gt;"",N44&lt;&gt;""),N44*VLOOKUP($O44,$A$65:$B$67,2),"")</f>
        <v/>
      </c>
      <c r="T44" s="49" t="str">
        <f>IF(O44&lt;&gt;"",IF(O44=$A$67,$A$66,$A$67),"")</f>
        <v>inch</v>
      </c>
    </row>
    <row r="45" spans="1:20" x14ac:dyDescent="0.2">
      <c r="A45" t="s">
        <v>397</v>
      </c>
      <c r="B45" s="40" t="s">
        <v>545</v>
      </c>
      <c r="C45" s="40" t="s">
        <v>546</v>
      </c>
      <c r="D45">
        <v>1</v>
      </c>
      <c r="E45" s="44" t="s">
        <v>397</v>
      </c>
      <c r="F45" s="40" t="s">
        <v>397</v>
      </c>
      <c r="G45" s="56"/>
      <c r="H45" s="30">
        <v>1.95</v>
      </c>
      <c r="I45">
        <v>100</v>
      </c>
      <c r="J45" s="52" t="s">
        <v>547</v>
      </c>
      <c r="K45" s="47">
        <v>45</v>
      </c>
      <c r="L45" s="47">
        <v>24.2</v>
      </c>
      <c r="M45" s="47">
        <v>18.3</v>
      </c>
      <c r="N45" s="47"/>
      <c r="O45" s="51" t="s">
        <v>328</v>
      </c>
      <c r="P45" s="47">
        <f>IF(AND($O45&lt;&gt;"",K45&lt;&gt;""),K45*VLOOKUP($O45,$A$65:$B$67,2),"")</f>
        <v>1.7716535433070866</v>
      </c>
      <c r="Q45" s="47">
        <f>IF(AND($O45&lt;&gt;"",L45&lt;&gt;""),L45*VLOOKUP($O45,$A$65:$B$67,2),"")</f>
        <v>0.952755905511811</v>
      </c>
      <c r="R45" s="47">
        <f>IF(AND($O45&lt;&gt;"",M45&lt;&gt;""),M45*VLOOKUP($O45,$A$65:$B$67,2),"")</f>
        <v>0.72047244094488194</v>
      </c>
      <c r="S45" s="47" t="str">
        <f>IF(AND($O45&lt;&gt;"",N45&lt;&gt;""),N45*VLOOKUP($O45,$A$65:$B$67,2),"")</f>
        <v/>
      </c>
      <c r="T45" s="49" t="str">
        <f>IF(O45&lt;&gt;"",IF(O45=$A$67,$A$66,$A$67),"")</f>
        <v>inch</v>
      </c>
    </row>
    <row r="46" spans="1:20" x14ac:dyDescent="0.2">
      <c r="A46" t="s">
        <v>397</v>
      </c>
      <c r="B46" s="40" t="s">
        <v>432</v>
      </c>
      <c r="C46" s="40" t="s">
        <v>503</v>
      </c>
      <c r="D46">
        <f>1+LEN(E46)-LEN(SUBSTITUTE(E46,",",""))</f>
        <v>1</v>
      </c>
      <c r="E46" s="44" t="s">
        <v>400</v>
      </c>
      <c r="F46" s="40" t="s">
        <v>535</v>
      </c>
      <c r="G46" s="56" t="s">
        <v>520</v>
      </c>
      <c r="H46" s="30">
        <v>1.3639999999999999E-2</v>
      </c>
      <c r="I46">
        <v>250</v>
      </c>
      <c r="J46" s="52" t="s">
        <v>416</v>
      </c>
      <c r="K46" s="47">
        <v>1</v>
      </c>
      <c r="L46" s="47">
        <v>0.5</v>
      </c>
      <c r="M46" s="47">
        <v>0.4</v>
      </c>
      <c r="N46" s="47"/>
      <c r="O46" s="51" t="s">
        <v>328</v>
      </c>
      <c r="P46" s="47">
        <f>IF(AND($O46&lt;&gt;"",K46&lt;&gt;""),K46*VLOOKUP($O46,$A$65:$B$67,2),"")</f>
        <v>3.937007874015748E-2</v>
      </c>
      <c r="Q46" s="47">
        <f>IF(AND($O46&lt;&gt;"",L46&lt;&gt;""),L46*VLOOKUP($O46,$A$65:$B$67,2),"")</f>
        <v>1.968503937007874E-2</v>
      </c>
      <c r="R46" s="47">
        <f>IF(AND($O46&lt;&gt;"",M46&lt;&gt;""),M46*VLOOKUP($O46,$A$65:$B$67,2),"")</f>
        <v>1.5748031496062992E-2</v>
      </c>
      <c r="S46" s="47" t="str">
        <f>IF(AND($O46&lt;&gt;"",N46&lt;&gt;""),N46*VLOOKUP($O46,$A$65:$B$67,2),"")</f>
        <v/>
      </c>
      <c r="T46" s="49" t="str">
        <f>IF(O46&lt;&gt;"",IF(O46=$A$67,$A$66,$A$67),"")</f>
        <v>inch</v>
      </c>
    </row>
    <row r="47" spans="1:20" x14ac:dyDescent="0.2">
      <c r="A47" s="40" t="s">
        <v>501</v>
      </c>
      <c r="B47" s="40" t="s">
        <v>507</v>
      </c>
      <c r="C47" s="40" t="s">
        <v>508</v>
      </c>
      <c r="D47">
        <f>1+LEN(E47)-LEN(SUBSTITUTE(E47,",",""))</f>
        <v>3</v>
      </c>
      <c r="E47" s="44" t="s">
        <v>506</v>
      </c>
      <c r="F47" s="40" t="s">
        <v>509</v>
      </c>
      <c r="G47" s="40"/>
      <c r="H47" s="30">
        <v>2.9239999999999999E-2</v>
      </c>
      <c r="I47">
        <v>250</v>
      </c>
      <c r="J47" s="52" t="s">
        <v>416</v>
      </c>
      <c r="K47" s="47">
        <v>1</v>
      </c>
      <c r="L47" s="47">
        <v>0.5</v>
      </c>
      <c r="M47" s="47">
        <v>0.55000000000000004</v>
      </c>
      <c r="O47" s="51" t="s">
        <v>328</v>
      </c>
      <c r="P47" s="47">
        <f>IF(AND($O47&lt;&gt;"",K47&lt;&gt;""),K47*VLOOKUP($O47,$A$65:$B$67,2),"")</f>
        <v>3.937007874015748E-2</v>
      </c>
      <c r="Q47" s="47">
        <f>IF(AND($O47&lt;&gt;"",L47&lt;&gt;""),L47*VLOOKUP($O47,$A$65:$B$67,2),"")</f>
        <v>1.968503937007874E-2</v>
      </c>
      <c r="R47" s="47">
        <f>IF(AND($O47&lt;&gt;"",M47&lt;&gt;""),M47*VLOOKUP($O47,$A$65:$B$67,2),"")</f>
        <v>2.1653543307086617E-2</v>
      </c>
      <c r="S47" s="47" t="str">
        <f>IF(AND($O47&lt;&gt;"",N47&lt;&gt;""),N47*VLOOKUP($O47,$A$65:$B$67,2),"")</f>
        <v/>
      </c>
      <c r="T47" s="49" t="str">
        <f>IF(O47&lt;&gt;"",IF(O47=$A$67,$A$66,$A$67),"")</f>
        <v>inch</v>
      </c>
    </row>
    <row r="48" spans="1:20" x14ac:dyDescent="0.2">
      <c r="A48" s="40" t="s">
        <v>501</v>
      </c>
      <c r="B48" s="40" t="s">
        <v>432</v>
      </c>
      <c r="C48" s="40" t="s">
        <v>503</v>
      </c>
      <c r="D48">
        <f>1+LEN(E48)-LEN(SUBSTITUTE(E48,",",""))</f>
        <v>3</v>
      </c>
      <c r="E48" s="44" t="s">
        <v>502</v>
      </c>
      <c r="F48" s="40" t="s">
        <v>535</v>
      </c>
      <c r="G48" s="56" t="s">
        <v>520</v>
      </c>
      <c r="H48" s="30">
        <v>1.3639999999999999E-2</v>
      </c>
      <c r="I48">
        <v>250</v>
      </c>
      <c r="J48" s="52" t="s">
        <v>416</v>
      </c>
      <c r="K48" s="47">
        <v>1</v>
      </c>
      <c r="L48" s="47">
        <v>0.5</v>
      </c>
      <c r="M48" s="47">
        <v>0.4</v>
      </c>
      <c r="N48" s="47"/>
      <c r="O48" s="51" t="s">
        <v>328</v>
      </c>
      <c r="P48" s="47">
        <f>IF(AND($O48&lt;&gt;"",K48&lt;&gt;""),K48*VLOOKUP($O48,$A$65:$B$67,2),"")</f>
        <v>3.937007874015748E-2</v>
      </c>
      <c r="Q48" s="47">
        <f>IF(AND($O48&lt;&gt;"",L48&lt;&gt;""),L48*VLOOKUP($O48,$A$65:$B$67,2),"")</f>
        <v>1.968503937007874E-2</v>
      </c>
      <c r="R48" s="47">
        <f>IF(AND($O48&lt;&gt;"",M48&lt;&gt;""),M48*VLOOKUP($O48,$A$65:$B$67,2),"")</f>
        <v>1.5748031496062992E-2</v>
      </c>
      <c r="S48" s="47" t="str">
        <f>IF(AND($O48&lt;&gt;"",N48&lt;&gt;""),N48*VLOOKUP($O48,$A$65:$B$67,2),"")</f>
        <v/>
      </c>
      <c r="T48" s="49" t="str">
        <f>IF(O48&lt;&gt;"",IF(O48=$A$67,$A$66,$A$67),"")</f>
        <v>inch</v>
      </c>
    </row>
    <row r="49" spans="1:20" x14ac:dyDescent="0.2">
      <c r="A49" s="40" t="s">
        <v>501</v>
      </c>
      <c r="B49" s="40" t="s">
        <v>432</v>
      </c>
      <c r="C49" s="40" t="s">
        <v>505</v>
      </c>
      <c r="D49">
        <f>1+LEN(E49)-LEN(SUBSTITUTE(E49,",",""))</f>
        <v>3</v>
      </c>
      <c r="E49" s="44" t="s">
        <v>504</v>
      </c>
      <c r="F49" s="40" t="s">
        <v>536</v>
      </c>
      <c r="G49" s="56" t="s">
        <v>520</v>
      </c>
      <c r="H49" s="30">
        <v>1.3639999999999999E-2</v>
      </c>
      <c r="I49">
        <v>250</v>
      </c>
      <c r="J49" s="52" t="s">
        <v>416</v>
      </c>
      <c r="K49" s="47">
        <v>1</v>
      </c>
      <c r="L49" s="47">
        <v>0.5</v>
      </c>
      <c r="M49" s="47">
        <v>0.4</v>
      </c>
      <c r="N49" s="47"/>
      <c r="O49" s="51" t="s">
        <v>328</v>
      </c>
      <c r="P49" s="47">
        <f>IF(AND($O49&lt;&gt;"",K49&lt;&gt;""),K49*VLOOKUP($O49,$A$65:$B$67,2),"")</f>
        <v>3.937007874015748E-2</v>
      </c>
      <c r="Q49" s="47">
        <f>IF(AND($O49&lt;&gt;"",L49&lt;&gt;""),L49*VLOOKUP($O49,$A$65:$B$67,2),"")</f>
        <v>1.968503937007874E-2</v>
      </c>
      <c r="R49" s="47">
        <f>IF(AND($O49&lt;&gt;"",M49&lt;&gt;""),M49*VLOOKUP($O49,$A$65:$B$67,2),"")</f>
        <v>1.5748031496062992E-2</v>
      </c>
      <c r="S49" s="47" t="str">
        <f>IF(AND($O49&lt;&gt;"",N49&lt;&gt;""),N49*VLOOKUP($O49,$A$65:$B$67,2),"")</f>
        <v/>
      </c>
      <c r="T49" s="49" t="str">
        <f>IF(O49&lt;&gt;"",IF(O49=$A$67,$A$66,$A$67),"")</f>
        <v>inch</v>
      </c>
    </row>
    <row r="50" spans="1:20" x14ac:dyDescent="0.2">
      <c r="A50" t="s">
        <v>402</v>
      </c>
      <c r="B50" s="34" t="s">
        <v>507</v>
      </c>
      <c r="C50" t="s">
        <v>525</v>
      </c>
      <c r="D50">
        <f>1+LEN(E50)-LEN(SUBSTITUTE(E50,",",""))</f>
        <v>1</v>
      </c>
      <c r="E50" s="44" t="s">
        <v>405</v>
      </c>
      <c r="F50" t="s">
        <v>526</v>
      </c>
      <c r="G50" s="34" t="s">
        <v>527</v>
      </c>
      <c r="H50" s="30">
        <v>7.4999999999999997E-2</v>
      </c>
      <c r="I50">
        <v>250</v>
      </c>
      <c r="J50" s="52" t="s">
        <v>416</v>
      </c>
      <c r="K50" s="47">
        <v>2</v>
      </c>
      <c r="L50" s="47">
        <v>1.25</v>
      </c>
      <c r="M50" s="47"/>
      <c r="N50" s="47"/>
      <c r="O50" s="49" t="s">
        <v>328</v>
      </c>
      <c r="P50" s="47">
        <f>IF(AND($O50&lt;&gt;"",K50&lt;&gt;""),K50*VLOOKUP($O50,$A$65:$B$67,2),"")</f>
        <v>7.874015748031496E-2</v>
      </c>
      <c r="Q50" s="47">
        <f>IF(AND($O50&lt;&gt;"",L50&lt;&gt;""),L50*VLOOKUP($O50,$A$65:$B$67,2),"")</f>
        <v>4.9212598425196846E-2</v>
      </c>
      <c r="R50" s="47" t="str">
        <f>IF(AND($O50&lt;&gt;"",M50&lt;&gt;""),M50*VLOOKUP($O50,$A$65:$B$67,2),"")</f>
        <v/>
      </c>
      <c r="S50" s="47" t="str">
        <f>IF(AND($O50&lt;&gt;"",N50&lt;&gt;""),N50*VLOOKUP($O50,$A$65:$B$67,2),"")</f>
        <v/>
      </c>
      <c r="T50" s="49" t="str">
        <f>IF(O50&lt;&gt;"",IF(O50=$A$67,$A$66,$A$67),"")</f>
        <v>inch</v>
      </c>
    </row>
    <row r="51" spans="1:20" x14ac:dyDescent="0.2">
      <c r="A51" t="s">
        <v>402</v>
      </c>
      <c r="B51" s="40" t="s">
        <v>274</v>
      </c>
      <c r="C51" t="s">
        <v>403</v>
      </c>
      <c r="D51">
        <f>1+LEN(E51)-LEN(SUBSTITUTE(E51,",",""))</f>
        <v>1</v>
      </c>
      <c r="E51" s="44" t="s">
        <v>404</v>
      </c>
      <c r="F51" s="40" t="s">
        <v>494</v>
      </c>
      <c r="G51" s="40" t="s">
        <v>523</v>
      </c>
      <c r="H51" s="30">
        <v>1.4280999999999999</v>
      </c>
      <c r="I51">
        <v>100</v>
      </c>
      <c r="J51" s="52" t="s">
        <v>416</v>
      </c>
      <c r="K51" s="47">
        <v>6.5</v>
      </c>
      <c r="L51" s="47">
        <v>7</v>
      </c>
      <c r="M51" s="47">
        <v>1.7</v>
      </c>
      <c r="N51" s="47"/>
      <c r="O51" s="51" t="s">
        <v>328</v>
      </c>
      <c r="P51" s="47">
        <f>IF(AND($O51&lt;&gt;"",K51&lt;&gt;""),K51*VLOOKUP($O51,$A$65:$B$67,2),"")</f>
        <v>0.25590551181102361</v>
      </c>
      <c r="Q51" s="47">
        <f>IF(AND($O51&lt;&gt;"",L51&lt;&gt;""),L51*VLOOKUP($O51,$A$65:$B$67,2),"")</f>
        <v>0.27559055118110237</v>
      </c>
      <c r="R51" s="47">
        <f>IF(AND($O51&lt;&gt;"",M51&lt;&gt;""),M51*VLOOKUP($O51,$A$65:$B$67,2),"")</f>
        <v>6.6929133858267709E-2</v>
      </c>
      <c r="S51" s="47" t="str">
        <f>IF(AND($O51&lt;&gt;"",N51&lt;&gt;""),N51*VLOOKUP($O51,$A$65:$B$67,2),"")</f>
        <v/>
      </c>
      <c r="T51" s="49" t="str">
        <f>IF(O51&lt;&gt;"",IF(O51=$A$67,$A$66,$A$67),"")</f>
        <v>inch</v>
      </c>
    </row>
    <row r="52" spans="1:20" x14ac:dyDescent="0.2">
      <c r="J52" s="49"/>
      <c r="O52" s="49"/>
      <c r="P52" s="47" t="str">
        <f>IF(AND($O52&lt;&gt;"",K52&lt;&gt;""),K52*VLOOKUP($O52,$A$65:$B$67,2),"")</f>
        <v/>
      </c>
      <c r="Q52" s="47" t="str">
        <f>IF(AND($O52&lt;&gt;"",L52&lt;&gt;""),L52*VLOOKUP($O52,$A$65:$B$67,2),"")</f>
        <v/>
      </c>
      <c r="R52" s="47" t="str">
        <f>IF(AND($O52&lt;&gt;"",M52&lt;&gt;""),M52*VLOOKUP($O52,$A$65:$B$67,2),"")</f>
        <v/>
      </c>
      <c r="S52" s="47" t="str">
        <f>IF(AND($O52&lt;&gt;"",N52&lt;&gt;""),N52*VLOOKUP($O52,$A$65:$B$67,2),"")</f>
        <v/>
      </c>
      <c r="T52" s="49" t="str">
        <f>IF(O52&lt;&gt;"",IF(O52=$A$67,$A$66,$A$67),"")</f>
        <v/>
      </c>
    </row>
    <row r="53" spans="1:20" x14ac:dyDescent="0.2">
      <c r="J53" s="49"/>
      <c r="O53" s="49"/>
      <c r="P53" s="47" t="str">
        <f>IF(AND($O53&lt;&gt;"",K53&lt;&gt;""),K53*VLOOKUP($O53,$A$65:$B$67,2),"")</f>
        <v/>
      </c>
      <c r="Q53" s="47" t="str">
        <f>IF(AND($O53&lt;&gt;"",L53&lt;&gt;""),L53*VLOOKUP($O53,$A$65:$B$67,2),"")</f>
        <v/>
      </c>
      <c r="R53" s="47" t="str">
        <f>IF(AND($O53&lt;&gt;"",M53&lt;&gt;""),M53*VLOOKUP($O53,$A$65:$B$67,2),"")</f>
        <v/>
      </c>
      <c r="S53" s="47" t="str">
        <f>IF(AND($O53&lt;&gt;"",N53&lt;&gt;""),N53*VLOOKUP($O53,$A$65:$B$67,2),"")</f>
        <v/>
      </c>
      <c r="T53" s="49" t="str">
        <f>IF(O53&lt;&gt;"",IF(O53=$A$67,$A$66,$A$67),"")</f>
        <v/>
      </c>
    </row>
    <row r="54" spans="1:20" x14ac:dyDescent="0.2">
      <c r="J54" s="49"/>
      <c r="O54" s="49"/>
      <c r="P54" s="47" t="str">
        <f>IF(AND($O54&lt;&gt;"",K54&lt;&gt;""),K54*VLOOKUP($O54,$A$65:$B$67,2),"")</f>
        <v/>
      </c>
      <c r="Q54" s="47" t="str">
        <f>IF(AND($O54&lt;&gt;"",L54&lt;&gt;""),L54*VLOOKUP($O54,$A$65:$B$67,2),"")</f>
        <v/>
      </c>
      <c r="R54" s="47" t="str">
        <f>IF(AND($O54&lt;&gt;"",M54&lt;&gt;""),M54*VLOOKUP($O54,$A$65:$B$67,2),"")</f>
        <v/>
      </c>
      <c r="S54" s="47" t="str">
        <f>IF(AND($O54&lt;&gt;"",N54&lt;&gt;""),N54*VLOOKUP($O54,$A$65:$B$67,2),"")</f>
        <v/>
      </c>
      <c r="T54" s="49" t="str">
        <f>IF(O54&lt;&gt;"",IF(O54=$A$67,$A$66,$A$67),"")</f>
        <v/>
      </c>
    </row>
    <row r="55" spans="1:20" x14ac:dyDescent="0.2">
      <c r="J55" s="49"/>
      <c r="O55" s="49"/>
      <c r="P55" s="47" t="str">
        <f>IF(AND($O55&lt;&gt;"",K55&lt;&gt;""),K55*VLOOKUP($O55,$A$65:$B$67,2),"")</f>
        <v/>
      </c>
      <c r="Q55" s="47" t="str">
        <f>IF(AND($O55&lt;&gt;"",L55&lt;&gt;""),L55*VLOOKUP($O55,$A$65:$B$67,2),"")</f>
        <v/>
      </c>
      <c r="R55" s="47" t="str">
        <f>IF(AND($O55&lt;&gt;"",M55&lt;&gt;""),M55*VLOOKUP($O55,$A$65:$B$67,2),"")</f>
        <v/>
      </c>
      <c r="S55" s="47" t="str">
        <f>IF(AND($O55&lt;&gt;"",N55&lt;&gt;""),N55*VLOOKUP($O55,$A$65:$B$67,2),"")</f>
        <v/>
      </c>
      <c r="T55" s="49" t="str">
        <f>IF(O55&lt;&gt;"",IF(O55=$A$67,$A$66,$A$67),"")</f>
        <v/>
      </c>
    </row>
    <row r="56" spans="1:20" x14ac:dyDescent="0.2">
      <c r="J56" s="49"/>
      <c r="O56" s="49"/>
      <c r="P56" s="47" t="str">
        <f>IF(AND($O56&lt;&gt;"",K56&lt;&gt;""),K56*VLOOKUP($O56,$A$65:$B$67,2),"")</f>
        <v/>
      </c>
      <c r="Q56" s="47" t="str">
        <f>IF(AND($O56&lt;&gt;"",L56&lt;&gt;""),L56*VLOOKUP($O56,$A$65:$B$67,2),"")</f>
        <v/>
      </c>
      <c r="R56" s="47" t="str">
        <f>IF(AND($O56&lt;&gt;"",M56&lt;&gt;""),M56*VLOOKUP($O56,$A$65:$B$67,2),"")</f>
        <v/>
      </c>
      <c r="S56" s="47" t="str">
        <f>IF(AND($O56&lt;&gt;"",N56&lt;&gt;""),N56*VLOOKUP($O56,$A$65:$B$67,2),"")</f>
        <v/>
      </c>
      <c r="T56" s="49" t="str">
        <f>IF(O56&lt;&gt;"",IF(O56=$A$67,$A$66,$A$67),"")</f>
        <v/>
      </c>
    </row>
    <row r="57" spans="1:20" x14ac:dyDescent="0.2">
      <c r="J57" s="49"/>
      <c r="O57" s="49"/>
      <c r="P57" s="47" t="str">
        <f>IF(AND($O57&lt;&gt;"",K57&lt;&gt;""),K57*VLOOKUP($O57,$A$65:$B$67,2),"")</f>
        <v/>
      </c>
      <c r="Q57" s="47" t="str">
        <f>IF(AND($O57&lt;&gt;"",L57&lt;&gt;""),L57*VLOOKUP($O57,$A$65:$B$67,2),"")</f>
        <v/>
      </c>
      <c r="R57" s="47" t="str">
        <f>IF(AND($O57&lt;&gt;"",M57&lt;&gt;""),M57*VLOOKUP($O57,$A$65:$B$67,2),"")</f>
        <v/>
      </c>
      <c r="S57" s="47" t="str">
        <f>IF(AND($O57&lt;&gt;"",N57&lt;&gt;""),N57*VLOOKUP($O57,$A$65:$B$67,2),"")</f>
        <v/>
      </c>
      <c r="T57" s="49" t="str">
        <f>IF(O57&lt;&gt;"",IF(O57=$A$67,$A$66,$A$67),"")</f>
        <v/>
      </c>
    </row>
    <row r="58" spans="1:20" x14ac:dyDescent="0.2">
      <c r="J58" s="49"/>
      <c r="O58" s="49"/>
      <c r="P58" s="47" t="str">
        <f>IF(AND($O58&lt;&gt;"",K58&lt;&gt;""),K58*VLOOKUP($O58,$A$65:$B$67,2),"")</f>
        <v/>
      </c>
      <c r="Q58" s="47" t="str">
        <f>IF(AND($O58&lt;&gt;"",L58&lt;&gt;""),L58*VLOOKUP($O58,$A$65:$B$67,2),"")</f>
        <v/>
      </c>
      <c r="R58" s="47" t="str">
        <f>IF(AND($O58&lt;&gt;"",M58&lt;&gt;""),M58*VLOOKUP($O58,$A$65:$B$67,2),"")</f>
        <v/>
      </c>
      <c r="S58" s="47" t="str">
        <f>IF(AND($O58&lt;&gt;"",N58&lt;&gt;""),N58*VLOOKUP($O58,$A$65:$B$67,2),"")</f>
        <v/>
      </c>
      <c r="T58" s="49" t="str">
        <f>IF(O58&lt;&gt;"",IF(O58=$A$67,$A$66,$A$67),"")</f>
        <v/>
      </c>
    </row>
    <row r="59" spans="1:20" x14ac:dyDescent="0.2">
      <c r="J59" s="49"/>
      <c r="O59" s="49"/>
      <c r="P59" s="47" t="str">
        <f>IF(AND($O59&lt;&gt;"",K59&lt;&gt;""),K59*VLOOKUP($O59,$A$65:$B$67,2),"")</f>
        <v/>
      </c>
      <c r="Q59" s="47" t="str">
        <f>IF(AND($O59&lt;&gt;"",L59&lt;&gt;""),L59*VLOOKUP($O59,$A$65:$B$67,2),"")</f>
        <v/>
      </c>
      <c r="R59" s="47" t="str">
        <f>IF(AND($O59&lt;&gt;"",M59&lt;&gt;""),M59*VLOOKUP($O59,$A$65:$B$67,2),"")</f>
        <v/>
      </c>
      <c r="S59" s="47" t="str">
        <f>IF(AND($O59&lt;&gt;"",N59&lt;&gt;""),N59*VLOOKUP($O59,$A$65:$B$67,2),"")</f>
        <v/>
      </c>
      <c r="T59" s="49" t="str">
        <f>IF(O59&lt;&gt;"",IF(O59=$A$67,$A$66,$A$67),"")</f>
        <v/>
      </c>
    </row>
    <row r="60" spans="1:20" x14ac:dyDescent="0.2">
      <c r="J60" s="49"/>
      <c r="O60" s="49"/>
      <c r="P60" s="47" t="str">
        <f>IF(AND($O60&lt;&gt;"",K60&lt;&gt;""),K60*VLOOKUP($O60,$A$65:$B$67,2),"")</f>
        <v/>
      </c>
      <c r="Q60" s="47" t="str">
        <f>IF(AND($O60&lt;&gt;"",L60&lt;&gt;""),L60*VLOOKUP($O60,$A$65:$B$67,2),"")</f>
        <v/>
      </c>
      <c r="R60" s="47" t="str">
        <f>IF(AND($O60&lt;&gt;"",M60&lt;&gt;""),M60*VLOOKUP($O60,$A$65:$B$67,2),"")</f>
        <v/>
      </c>
      <c r="S60" s="47" t="str">
        <f>IF(AND($O60&lt;&gt;"",N60&lt;&gt;""),N60*VLOOKUP($O60,$A$65:$B$67,2),"")</f>
        <v/>
      </c>
      <c r="T60" s="49" t="str">
        <f>IF(O60&lt;&gt;"",IF(O60=$A$67,$A$66,$A$67),"")</f>
        <v/>
      </c>
    </row>
    <row r="65" spans="1:2" x14ac:dyDescent="0.2">
      <c r="A65" s="39" t="s">
        <v>337</v>
      </c>
      <c r="B65" s="39" t="s">
        <v>339</v>
      </c>
    </row>
    <row r="66" spans="1:2" x14ac:dyDescent="0.2">
      <c r="A66" s="14" t="s">
        <v>338</v>
      </c>
      <c r="B66">
        <f>1/B67</f>
        <v>25.4</v>
      </c>
    </row>
    <row r="67" spans="1:2" x14ac:dyDescent="0.2">
      <c r="A67" s="14" t="s">
        <v>328</v>
      </c>
      <c r="B67" s="2">
        <f>1/25.4</f>
        <v>3.937007874015748E-2</v>
      </c>
    </row>
    <row r="76" spans="1:2" x14ac:dyDescent="0.2">
      <c r="A76" s="57" t="s">
        <v>541</v>
      </c>
      <c r="B76" t="s">
        <v>544</v>
      </c>
    </row>
    <row r="77" spans="1:2" x14ac:dyDescent="0.2">
      <c r="A77" s="58" t="s">
        <v>375</v>
      </c>
      <c r="B77" s="59">
        <v>7.1341599999999996</v>
      </c>
    </row>
    <row r="78" spans="1:2" x14ac:dyDescent="0.2">
      <c r="A78" s="58" t="s">
        <v>373</v>
      </c>
      <c r="B78" s="59">
        <v>1.9361600000000001</v>
      </c>
    </row>
    <row r="79" spans="1:2" x14ac:dyDescent="0.2">
      <c r="A79" s="58" t="s">
        <v>447</v>
      </c>
      <c r="B79" s="59">
        <v>2.3186</v>
      </c>
    </row>
    <row r="80" spans="1:2" x14ac:dyDescent="0.2">
      <c r="A80" s="58" t="s">
        <v>223</v>
      </c>
      <c r="B80" s="59">
        <v>1.4824600000000003</v>
      </c>
    </row>
    <row r="81" spans="1:2" x14ac:dyDescent="0.2">
      <c r="A81" s="58" t="s">
        <v>220</v>
      </c>
      <c r="B81" s="59">
        <v>2.1072800000000003</v>
      </c>
    </row>
    <row r="82" spans="1:2" x14ac:dyDescent="0.2">
      <c r="A82" s="58" t="s">
        <v>397</v>
      </c>
      <c r="B82" s="59">
        <v>7.4493400000000003</v>
      </c>
    </row>
    <row r="83" spans="1:2" x14ac:dyDescent="0.2">
      <c r="A83" s="58" t="s">
        <v>501</v>
      </c>
      <c r="B83" s="59">
        <v>5.6520000000000001E-2</v>
      </c>
    </row>
    <row r="84" spans="1:2" x14ac:dyDescent="0.2">
      <c r="A84" s="58" t="s">
        <v>402</v>
      </c>
      <c r="B84" s="59">
        <v>1.5030999999999999</v>
      </c>
    </row>
    <row r="85" spans="1:2" x14ac:dyDescent="0.2">
      <c r="A85" s="58" t="s">
        <v>542</v>
      </c>
      <c r="B85" s="59"/>
    </row>
    <row r="86" spans="1:2" x14ac:dyDescent="0.2">
      <c r="A86" s="58" t="s">
        <v>543</v>
      </c>
      <c r="B86" s="59">
        <v>23.987619999999996</v>
      </c>
    </row>
  </sheetData>
  <autoFilter ref="A1:J48"/>
  <sortState ref="A2:T60">
    <sortCondition ref="A18"/>
  </sortState>
  <phoneticPr fontId="3" type="noConversion"/>
  <dataValidations count="1">
    <dataValidation type="list" allowBlank="1" showInputMessage="1" showErrorMessage="1" sqref="O2:O60">
      <formula1>$A$66:$A$67</formula1>
    </dataValidation>
  </dataValidations>
  <hyperlinks>
    <hyperlink ref="J40" r:id="rId2"/>
    <hyperlink ref="J22" r:id="rId3"/>
    <hyperlink ref="J44" r:id="rId4"/>
    <hyperlink ref="J51" r:id="rId5"/>
    <hyperlink ref="J19" r:id="rId6"/>
    <hyperlink ref="J25" r:id="rId7"/>
    <hyperlink ref="J34" r:id="rId8"/>
    <hyperlink ref="J26" r:id="rId9"/>
    <hyperlink ref="J27" r:id="rId10"/>
    <hyperlink ref="J42" r:id="rId11"/>
    <hyperlink ref="J21" r:id="rId12"/>
    <hyperlink ref="J9" r:id="rId13"/>
    <hyperlink ref="J48" r:id="rId14"/>
    <hyperlink ref="J49" r:id="rId15"/>
    <hyperlink ref="J47" r:id="rId16"/>
    <hyperlink ref="J10" r:id="rId17"/>
    <hyperlink ref="J17" r:id="rId18"/>
    <hyperlink ref="J18" r:id="rId19"/>
    <hyperlink ref="J20" r:id="rId20"/>
    <hyperlink ref="J30" r:id="rId21"/>
    <hyperlink ref="J33" r:id="rId22"/>
    <hyperlink ref="J39" r:id="rId23"/>
    <hyperlink ref="J43" r:id="rId24"/>
    <hyperlink ref="J50" r:id="rId25"/>
    <hyperlink ref="J46" r:id="rId26"/>
    <hyperlink ref="J36" r:id="rId27"/>
    <hyperlink ref="J31" r:id="rId28"/>
    <hyperlink ref="J29" r:id="rId29"/>
    <hyperlink ref="J45" r:id="rId30"/>
    <hyperlink ref="J41" r:id="rId31"/>
  </hyperlinks>
  <pageMargins left="0.75" right="0.75" top="1" bottom="1" header="0.5" footer="0.5"/>
  <pageSetup orientation="portrait" r:id="rId32"/>
  <headerFooter alignWithMargins="0"/>
  <legacy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35"/>
  <sheetViews>
    <sheetView workbookViewId="0">
      <selection activeCell="I4" sqref="I4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s="1" t="s">
        <v>437</v>
      </c>
      <c r="L1" s="1" t="s">
        <v>328</v>
      </c>
      <c r="M1" s="1" t="s">
        <v>2</v>
      </c>
      <c r="N1" s="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441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440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439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438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442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  <row r="35" spans="2:2" x14ac:dyDescent="0.2">
      <c r="B35" s="40"/>
    </row>
  </sheetData>
  <phoneticPr fontId="3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sqref="A1:C1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424</v>
      </c>
      <c r="F1" s="43" t="s">
        <v>425</v>
      </c>
      <c r="G1" s="43" t="s">
        <v>426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427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428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422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423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26"/>
  <sheetViews>
    <sheetView workbookViewId="0">
      <selection activeCell="A17" sqref="A17:C26"/>
    </sheetView>
  </sheetViews>
  <sheetFormatPr defaultRowHeight="12.75" x14ac:dyDescent="0.2"/>
  <cols>
    <col min="1" max="1" width="28.140625" customWidth="1"/>
    <col min="3" max="3" width="9.140625" style="4"/>
  </cols>
  <sheetData>
    <row r="1" spans="1:5" x14ac:dyDescent="0.2">
      <c r="A1" s="1" t="s">
        <v>1</v>
      </c>
      <c r="B1" s="1" t="s">
        <v>2</v>
      </c>
      <c r="C1" s="3" t="s">
        <v>3</v>
      </c>
      <c r="E1" s="1" t="s">
        <v>48</v>
      </c>
    </row>
    <row r="2" spans="1:5" ht="15" x14ac:dyDescent="0.25">
      <c r="A2" t="s">
        <v>0</v>
      </c>
      <c r="B2">
        <v>3.2</v>
      </c>
      <c r="C2" s="4" t="s">
        <v>4</v>
      </c>
      <c r="E2" s="45" t="s">
        <v>477</v>
      </c>
    </row>
    <row r="3" spans="1:5" x14ac:dyDescent="0.2">
      <c r="A3" t="s">
        <v>5</v>
      </c>
      <c r="B3">
        <v>0.02</v>
      </c>
      <c r="C3" s="4" t="s">
        <v>6</v>
      </c>
    </row>
    <row r="4" spans="1:5" x14ac:dyDescent="0.2">
      <c r="A4" t="s">
        <v>7</v>
      </c>
      <c r="B4">
        <v>2</v>
      </c>
      <c r="C4" s="4" t="s">
        <v>8</v>
      </c>
    </row>
    <row r="5" spans="1:5" x14ac:dyDescent="0.2">
      <c r="A5" t="s">
        <v>11</v>
      </c>
      <c r="B5">
        <v>130</v>
      </c>
      <c r="C5" s="4" t="s">
        <v>12</v>
      </c>
    </row>
    <row r="6" spans="1:5" x14ac:dyDescent="0.2">
      <c r="A6" t="s">
        <v>9</v>
      </c>
      <c r="B6">
        <v>9</v>
      </c>
      <c r="C6" s="4" t="s">
        <v>4</v>
      </c>
    </row>
    <row r="7" spans="1:5" x14ac:dyDescent="0.2">
      <c r="A7" t="s">
        <v>10</v>
      </c>
      <c r="B7">
        <v>32</v>
      </c>
      <c r="C7" s="4" t="s">
        <v>4</v>
      </c>
    </row>
    <row r="10" spans="1:5" x14ac:dyDescent="0.2">
      <c r="A10" t="s">
        <v>13</v>
      </c>
      <c r="B10" s="2">
        <f>(B6-B$4*B$2)/B$5</f>
        <v>1.9999999999999997E-2</v>
      </c>
      <c r="C10" s="4" t="s">
        <v>6</v>
      </c>
    </row>
    <row r="11" spans="1:5" x14ac:dyDescent="0.2">
      <c r="A11" t="s">
        <v>14</v>
      </c>
      <c r="B11" s="2">
        <f>(B7-B$4*B$2)/B$5</f>
        <v>0.19692307692307692</v>
      </c>
      <c r="C11" s="4" t="s">
        <v>6</v>
      </c>
    </row>
    <row r="17" spans="1:3" x14ac:dyDescent="0.2">
      <c r="A17" s="1" t="s">
        <v>478</v>
      </c>
      <c r="B17" s="1"/>
      <c r="C17" s="3"/>
    </row>
    <row r="18" spans="1:3" x14ac:dyDescent="0.2">
      <c r="A18" t="s">
        <v>467</v>
      </c>
      <c r="B18">
        <v>1.4999999999999999E-2</v>
      </c>
      <c r="C18" s="4" t="s">
        <v>6</v>
      </c>
    </row>
    <row r="19" spans="1:3" x14ac:dyDescent="0.2">
      <c r="A19" t="s">
        <v>468</v>
      </c>
      <c r="B19">
        <v>5</v>
      </c>
      <c r="C19" s="4" t="s">
        <v>469</v>
      </c>
    </row>
    <row r="20" spans="1:3" x14ac:dyDescent="0.2">
      <c r="A20" t="s">
        <v>470</v>
      </c>
      <c r="B20">
        <f>B18*B19</f>
        <v>7.4999999999999997E-2</v>
      </c>
    </row>
    <row r="21" spans="1:3" x14ac:dyDescent="0.2">
      <c r="A21" t="s">
        <v>471</v>
      </c>
      <c r="B21">
        <v>50</v>
      </c>
      <c r="C21" s="4" t="s">
        <v>472</v>
      </c>
    </row>
    <row r="22" spans="1:3" x14ac:dyDescent="0.2">
      <c r="A22" t="s">
        <v>473</v>
      </c>
      <c r="B22">
        <f>B20/B21</f>
        <v>1.5E-3</v>
      </c>
      <c r="C22" s="4" t="s">
        <v>6</v>
      </c>
    </row>
    <row r="23" spans="1:3" x14ac:dyDescent="0.2">
      <c r="A23" t="s">
        <v>474</v>
      </c>
      <c r="B23">
        <v>3.1</v>
      </c>
      <c r="C23" s="4" t="s">
        <v>4</v>
      </c>
    </row>
    <row r="24" spans="1:3" x14ac:dyDescent="0.2">
      <c r="A24" t="s">
        <v>475</v>
      </c>
      <c r="B24">
        <f>B23/B22</f>
        <v>2066.6666666666665</v>
      </c>
      <c r="C24" s="4" t="s">
        <v>12</v>
      </c>
    </row>
    <row r="25" spans="1:3" x14ac:dyDescent="0.2">
      <c r="A25" t="s">
        <v>476</v>
      </c>
      <c r="B25">
        <v>2050</v>
      </c>
      <c r="C25" s="4" t="s">
        <v>12</v>
      </c>
    </row>
    <row r="26" spans="1:3" x14ac:dyDescent="0.2">
      <c r="A26" t="s">
        <v>479</v>
      </c>
      <c r="B26">
        <f>B23^2/B25</f>
        <v>4.6878048780487807E-3</v>
      </c>
      <c r="C26" s="4" t="s">
        <v>137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1" sqref="D11"/>
    </sheetView>
  </sheetViews>
  <sheetFormatPr defaultRowHeight="12.75" x14ac:dyDescent="0.2"/>
  <cols>
    <col min="1" max="1" width="22.140625" bestFit="1" customWidth="1"/>
  </cols>
  <sheetData>
    <row r="1" spans="1:3" x14ac:dyDescent="0.2">
      <c r="A1" s="1" t="s">
        <v>488</v>
      </c>
      <c r="B1" s="1" t="s">
        <v>2</v>
      </c>
      <c r="C1" s="3" t="s">
        <v>3</v>
      </c>
    </row>
    <row r="2" spans="1:3" x14ac:dyDescent="0.2">
      <c r="A2" s="40" t="s">
        <v>489</v>
      </c>
      <c r="B2">
        <v>100</v>
      </c>
      <c r="C2" s="55" t="s">
        <v>12</v>
      </c>
    </row>
    <row r="3" spans="1:3" x14ac:dyDescent="0.2">
      <c r="A3" s="40" t="s">
        <v>490</v>
      </c>
      <c r="B3">
        <v>5</v>
      </c>
      <c r="C3" s="55" t="s">
        <v>4</v>
      </c>
    </row>
    <row r="4" spans="1:3" x14ac:dyDescent="0.2">
      <c r="A4" s="40" t="s">
        <v>491</v>
      </c>
      <c r="B4">
        <f>B3^2/B2</f>
        <v>0.25</v>
      </c>
      <c r="C4" s="55" t="s">
        <v>137</v>
      </c>
    </row>
    <row r="5" spans="1:3" x14ac:dyDescent="0.2">
      <c r="C5" s="4"/>
    </row>
    <row r="6" spans="1:3" x14ac:dyDescent="0.2">
      <c r="C6" s="4"/>
    </row>
    <row r="7" spans="1:3" x14ac:dyDescent="0.2">
      <c r="C7" s="4"/>
    </row>
    <row r="8" spans="1:3" x14ac:dyDescent="0.2">
      <c r="C8" s="4"/>
    </row>
    <row r="9" spans="1:3" x14ac:dyDescent="0.2">
      <c r="C9" s="4"/>
    </row>
    <row r="10" spans="1:3" x14ac:dyDescent="0.2">
      <c r="C10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344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345</v>
      </c>
      <c r="B2">
        <v>32</v>
      </c>
      <c r="C2" t="s">
        <v>4</v>
      </c>
    </row>
    <row r="3" spans="1:4" x14ac:dyDescent="0.2">
      <c r="A3" s="40" t="s">
        <v>351</v>
      </c>
      <c r="B3" s="40">
        <v>200</v>
      </c>
      <c r="C3" s="40" t="s">
        <v>12</v>
      </c>
    </row>
    <row r="4" spans="1:4" x14ac:dyDescent="0.2">
      <c r="A4" s="40" t="s">
        <v>352</v>
      </c>
      <c r="B4" s="40">
        <v>12.5</v>
      </c>
      <c r="C4" s="40" t="s">
        <v>12</v>
      </c>
    </row>
    <row r="5" spans="1:4" x14ac:dyDescent="0.2">
      <c r="A5" s="40" t="s">
        <v>353</v>
      </c>
      <c r="B5">
        <f>B2*B4/(B3+B4)</f>
        <v>1.8823529411764706</v>
      </c>
      <c r="C5" s="40" t="s">
        <v>4</v>
      </c>
    </row>
    <row r="6" spans="1:4" x14ac:dyDescent="0.2">
      <c r="A6" s="40" t="s">
        <v>367</v>
      </c>
      <c r="B6">
        <f>0.99*B5</f>
        <v>1.8635294117647059</v>
      </c>
      <c r="C6" s="40" t="s">
        <v>4</v>
      </c>
      <c r="D6" s="40" t="s">
        <v>368</v>
      </c>
    </row>
    <row r="7" spans="1:4" x14ac:dyDescent="0.2">
      <c r="A7" s="40" t="s">
        <v>369</v>
      </c>
      <c r="B7">
        <f>1.01*B5</f>
        <v>1.9011764705882352</v>
      </c>
      <c r="C7" s="40" t="s">
        <v>4</v>
      </c>
      <c r="D7" s="40" t="s">
        <v>370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355</v>
      </c>
      <c r="B10">
        <f>B24</f>
        <v>1.8839999999999999</v>
      </c>
      <c r="C10" s="40" t="s">
        <v>4</v>
      </c>
    </row>
    <row r="11" spans="1:4" x14ac:dyDescent="0.2">
      <c r="A11" s="40" t="s">
        <v>356</v>
      </c>
      <c r="B11">
        <f>B25</f>
        <v>2.1909999999999998</v>
      </c>
      <c r="C11" s="40" t="s">
        <v>4</v>
      </c>
    </row>
    <row r="12" spans="1:4" x14ac:dyDescent="0.2">
      <c r="A12" s="40" t="s">
        <v>360</v>
      </c>
      <c r="B12">
        <v>0</v>
      </c>
      <c r="C12" s="40" t="s">
        <v>4</v>
      </c>
    </row>
    <row r="13" spans="1:4" x14ac:dyDescent="0.2">
      <c r="A13" s="40" t="s">
        <v>357</v>
      </c>
      <c r="B13">
        <v>31</v>
      </c>
      <c r="C13" s="40" t="s">
        <v>358</v>
      </c>
      <c r="D13" s="40" t="s">
        <v>359</v>
      </c>
    </row>
    <row r="14" spans="1:4" x14ac:dyDescent="0.2">
      <c r="A14" s="40" t="s">
        <v>361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362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346</v>
      </c>
      <c r="B17">
        <v>3.3</v>
      </c>
      <c r="C17" t="s">
        <v>4</v>
      </c>
    </row>
    <row r="18" spans="1:4" x14ac:dyDescent="0.2">
      <c r="A18" s="40" t="s">
        <v>363</v>
      </c>
      <c r="B18">
        <f>0.99*B17</f>
        <v>3.2669999999999999</v>
      </c>
      <c r="C18" s="40" t="s">
        <v>4</v>
      </c>
      <c r="D18" s="40" t="s">
        <v>364</v>
      </c>
    </row>
    <row r="19" spans="1:4" x14ac:dyDescent="0.2">
      <c r="A19" s="40" t="s">
        <v>365</v>
      </c>
      <c r="B19">
        <f>1.01*B17</f>
        <v>3.3329999999999997</v>
      </c>
      <c r="C19" s="40" t="s">
        <v>4</v>
      </c>
      <c r="D19" s="40" t="s">
        <v>366</v>
      </c>
    </row>
    <row r="20" spans="1:4" x14ac:dyDescent="0.2">
      <c r="A20" s="40"/>
      <c r="C20" s="40"/>
      <c r="D20" s="40"/>
    </row>
    <row r="21" spans="1:4" x14ac:dyDescent="0.2">
      <c r="A21" s="40" t="s">
        <v>354</v>
      </c>
      <c r="B21">
        <v>1.024</v>
      </c>
      <c r="C21" s="40" t="s">
        <v>4</v>
      </c>
    </row>
    <row r="22" spans="1:4" x14ac:dyDescent="0.2">
      <c r="A22" t="s">
        <v>347</v>
      </c>
      <c r="B22">
        <v>1.946</v>
      </c>
      <c r="C22" t="s">
        <v>4</v>
      </c>
      <c r="D22" t="s">
        <v>349</v>
      </c>
    </row>
    <row r="23" spans="1:4" x14ac:dyDescent="0.2">
      <c r="A23" t="s">
        <v>348</v>
      </c>
      <c r="B23">
        <v>2.1709999999999998</v>
      </c>
      <c r="C23" t="s">
        <v>4</v>
      </c>
      <c r="D23" t="s">
        <v>349</v>
      </c>
    </row>
    <row r="24" spans="1:4" x14ac:dyDescent="0.2">
      <c r="A24" t="s">
        <v>347</v>
      </c>
      <c r="B24">
        <v>1.8839999999999999</v>
      </c>
      <c r="C24" t="s">
        <v>4</v>
      </c>
      <c r="D24" t="s">
        <v>350</v>
      </c>
    </row>
    <row r="25" spans="1:4" x14ac:dyDescent="0.2">
      <c r="A25" t="s">
        <v>348</v>
      </c>
      <c r="B25">
        <v>2.1909999999999998</v>
      </c>
      <c r="C25" t="s">
        <v>4</v>
      </c>
      <c r="D25" t="s">
        <v>350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topLeftCell="A14"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372</v>
      </c>
      <c r="B2">
        <v>3.3</v>
      </c>
      <c r="C2" s="4" t="s">
        <v>4</v>
      </c>
      <c r="E2" t="s">
        <v>417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430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431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429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420</v>
      </c>
      <c r="B24">
        <v>25</v>
      </c>
      <c r="C24" s="4" t="s">
        <v>418</v>
      </c>
    </row>
    <row r="25" spans="1:10" x14ac:dyDescent="0.2">
      <c r="A25" t="s">
        <v>419</v>
      </c>
      <c r="B25">
        <v>85</v>
      </c>
      <c r="C25" s="4" t="s">
        <v>418</v>
      </c>
    </row>
    <row r="27" spans="1:10" x14ac:dyDescent="0.2">
      <c r="A27" t="s">
        <v>421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E13" sqref="E13"/>
    </sheetView>
  </sheetViews>
  <sheetFormatPr defaultRowHeight="12.75" x14ac:dyDescent="0.2"/>
  <cols>
    <col min="1" max="1" width="15.28515625" customWidth="1"/>
    <col min="2" max="2" width="10.7109375" customWidth="1"/>
    <col min="4" max="4" width="25.28515625" bestFit="1" customWidth="1"/>
    <col min="6" max="6" width="22.42578125" customWidth="1"/>
  </cols>
  <sheetData>
    <row r="1" spans="1:6" x14ac:dyDescent="0.2">
      <c r="A1" s="60" t="s">
        <v>344</v>
      </c>
      <c r="B1" s="60" t="s">
        <v>2</v>
      </c>
      <c r="C1" s="60" t="s">
        <v>3</v>
      </c>
      <c r="D1" s="69" t="s">
        <v>48</v>
      </c>
      <c r="F1" s="60" t="s">
        <v>550</v>
      </c>
    </row>
    <row r="2" spans="1:6" x14ac:dyDescent="0.2">
      <c r="A2" s="40" t="s">
        <v>555</v>
      </c>
      <c r="B2" s="7">
        <v>28</v>
      </c>
      <c r="C2" t="s">
        <v>4</v>
      </c>
      <c r="D2" s="40" t="s">
        <v>572</v>
      </c>
    </row>
    <row r="3" spans="1:6" x14ac:dyDescent="0.2">
      <c r="A3" s="40" t="s">
        <v>566</v>
      </c>
      <c r="B3">
        <v>38</v>
      </c>
      <c r="C3" s="40" t="s">
        <v>4</v>
      </c>
      <c r="D3" s="40" t="s">
        <v>571</v>
      </c>
    </row>
    <row r="4" spans="1:6" x14ac:dyDescent="0.2">
      <c r="A4" t="s">
        <v>549</v>
      </c>
      <c r="B4" s="7">
        <v>12</v>
      </c>
      <c r="C4" t="s">
        <v>4</v>
      </c>
    </row>
    <row r="5" spans="1:6" ht="15" x14ac:dyDescent="0.25">
      <c r="A5" t="s">
        <v>551</v>
      </c>
      <c r="B5" s="61">
        <f>B6*(B4/B8-1)</f>
        <v>536200</v>
      </c>
      <c r="C5" t="s">
        <v>29</v>
      </c>
    </row>
    <row r="6" spans="1:6" x14ac:dyDescent="0.2">
      <c r="A6" t="s">
        <v>390</v>
      </c>
      <c r="B6" s="5">
        <v>38300</v>
      </c>
      <c r="C6" t="s">
        <v>29</v>
      </c>
    </row>
    <row r="7" spans="1:6" x14ac:dyDescent="0.2">
      <c r="A7" s="40" t="s">
        <v>569</v>
      </c>
      <c r="B7" s="5">
        <v>17000</v>
      </c>
      <c r="C7" s="40" t="s">
        <v>29</v>
      </c>
    </row>
    <row r="8" spans="1:6" x14ac:dyDescent="0.2">
      <c r="A8" t="s">
        <v>548</v>
      </c>
      <c r="B8">
        <v>0.8</v>
      </c>
      <c r="C8" t="s">
        <v>4</v>
      </c>
    </row>
    <row r="9" spans="1:6" x14ac:dyDescent="0.2">
      <c r="A9" s="40" t="s">
        <v>556</v>
      </c>
      <c r="B9">
        <v>0.37</v>
      </c>
      <c r="C9" s="40" t="s">
        <v>4</v>
      </c>
    </row>
    <row r="10" spans="1:6" x14ac:dyDescent="0.2">
      <c r="A10" s="40" t="s">
        <v>553</v>
      </c>
      <c r="B10">
        <v>0.12</v>
      </c>
      <c r="C10" s="40" t="s">
        <v>4</v>
      </c>
    </row>
    <row r="11" spans="1:6" x14ac:dyDescent="0.2">
      <c r="A11" s="40" t="s">
        <v>554</v>
      </c>
      <c r="B11" s="62">
        <v>2.1E-7</v>
      </c>
      <c r="C11" s="40" t="s">
        <v>557</v>
      </c>
    </row>
    <row r="12" spans="1:6" x14ac:dyDescent="0.2">
      <c r="A12" s="40" t="s">
        <v>560</v>
      </c>
      <c r="B12" s="62">
        <v>2.1E-7</v>
      </c>
      <c r="C12" s="40" t="s">
        <v>557</v>
      </c>
    </row>
    <row r="13" spans="1:6" ht="15" x14ac:dyDescent="0.25">
      <c r="A13" s="40" t="s">
        <v>552</v>
      </c>
      <c r="B13" s="63">
        <f>(B4+B10)/(B11*(B2-B9+B10))/1000000</f>
        <v>2.0797940797940799</v>
      </c>
      <c r="C13" s="40" t="s">
        <v>71</v>
      </c>
      <c r="D13" s="40" t="s">
        <v>570</v>
      </c>
    </row>
    <row r="14" spans="1:6" x14ac:dyDescent="0.2">
      <c r="A14" s="65" t="s">
        <v>567</v>
      </c>
      <c r="B14" s="68">
        <v>0.47</v>
      </c>
      <c r="C14" s="65" t="s">
        <v>568</v>
      </c>
    </row>
    <row r="15" spans="1:6" ht="15" x14ac:dyDescent="0.25">
      <c r="A15" s="40" t="s">
        <v>558</v>
      </c>
      <c r="B15" s="66">
        <f>B13*B11*1000000</f>
        <v>0.43675675675675679</v>
      </c>
      <c r="C15" s="40" t="s">
        <v>561</v>
      </c>
    </row>
    <row r="16" spans="1:6" ht="15" x14ac:dyDescent="0.25">
      <c r="A16" s="65" t="s">
        <v>559</v>
      </c>
      <c r="B16" s="66">
        <f>1-1000000*B13*B12</f>
        <v>0.56324324324324326</v>
      </c>
      <c r="C16" s="40" t="s">
        <v>561</v>
      </c>
    </row>
    <row r="17" spans="1:3" x14ac:dyDescent="0.2">
      <c r="B17" s="64"/>
    </row>
    <row r="18" spans="1:3" x14ac:dyDescent="0.2">
      <c r="B18" s="64"/>
    </row>
    <row r="19" spans="1:3" ht="15" x14ac:dyDescent="0.25">
      <c r="A19" s="40" t="s">
        <v>562</v>
      </c>
      <c r="B19" s="67">
        <f>(B4+B10)/(1-1000000*B13*B12)-B10+B9</f>
        <v>21.768234165067177</v>
      </c>
      <c r="C19" s="40" t="s">
        <v>563</v>
      </c>
    </row>
    <row r="20" spans="1:3" ht="15" x14ac:dyDescent="0.25">
      <c r="A20" s="40" t="s">
        <v>564</v>
      </c>
      <c r="B20" s="67">
        <f>(B4+B10)/(1000000*B13*B11)-B10+B9</f>
        <v>27.999999999999996</v>
      </c>
      <c r="C20" s="40" t="s">
        <v>563</v>
      </c>
    </row>
    <row r="21" spans="1:3" x14ac:dyDescent="0.2">
      <c r="B21" s="64"/>
    </row>
    <row r="22" spans="1:3" ht="15" x14ac:dyDescent="0.25">
      <c r="A22" s="40" t="s">
        <v>565</v>
      </c>
      <c r="B22" s="67">
        <f>8+(B20-B3)/(0.000001*B14)*B11</f>
        <v>3.531914893617019</v>
      </c>
      <c r="C22" s="40" t="s">
        <v>6</v>
      </c>
    </row>
    <row r="23" spans="1:3" x14ac:dyDescent="0.2">
      <c r="B23" s="64"/>
    </row>
    <row r="24" spans="1:3" x14ac:dyDescent="0.2">
      <c r="B24" s="64"/>
    </row>
    <row r="25" spans="1:3" x14ac:dyDescent="0.2">
      <c r="B25" s="64"/>
    </row>
  </sheetData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</sheetData>
  <phoneticPr fontId="3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BOM</vt:lpstr>
      <vt:lpstr>Mechanical</vt:lpstr>
      <vt:lpstr>Block Cost</vt:lpstr>
      <vt:lpstr>Battery Sense</vt:lpstr>
      <vt:lpstr>LED Backlight</vt:lpstr>
      <vt:lpstr>Prog</vt:lpstr>
      <vt:lpstr>Power Supply Loads</vt:lpstr>
      <vt:lpstr>PIC Load Dump</vt:lpstr>
      <vt:lpstr>Analog Power Supply</vt:lpstr>
      <vt:lpstr>Switching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2012-03-20T15:51:45Z</dcterms:modified>
</cp:coreProperties>
</file>